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22" firstSheet="5" activeTab="10"/>
  </bookViews>
  <sheets>
    <sheet name="Instruções" sheetId="1" r:id="rId1"/>
    <sheet name="A1) Ferramentas" sheetId="2" r:id="rId2"/>
    <sheet name="A2) BDI" sheetId="3" r:id="rId3"/>
    <sheet name="B1) ELETRICISTA" sheetId="4" r:id="rId4"/>
    <sheet name="B2) AUXILIAR DE MANUTENÇÃO II" sheetId="5" r:id="rId5"/>
    <sheet name="B3) TÉCNICO DE EDIFICAÇÕES" sheetId="6" r:id="rId6"/>
    <sheet name="C) Interior" sheetId="7" r:id="rId7"/>
    <sheet name="D) Serv. Eventuais " sheetId="8" r:id="rId8"/>
    <sheet name="E) Materiais Reposição" sheetId="9" r:id="rId9"/>
    <sheet name="F0)Comp.Serv. Especializado" sheetId="10" r:id="rId10"/>
    <sheet name="F) RESUMO" sheetId="11" r:id="rId11"/>
    <sheet name="C) Interior (2)" sheetId="12" state="hidden" r:id="rId12"/>
  </sheets>
  <definedNames>
    <definedName name="_xlnm._FilterDatabase" localSheetId="8" hidden="1">'E) Materiais Reposição'!$A$263:$I$308</definedName>
    <definedName name="_xlnm.Print_Area" localSheetId="1">'A1) Ferramentas'!$A$1:$G$92</definedName>
    <definedName name="_xlnm.Print_Area" localSheetId="3">'B1) ELETRICISTA'!$A$1:$E$175</definedName>
    <definedName name="_xlnm.Print_Area" localSheetId="4">'B2) AUXILIAR DE MANUTENÇÃO II'!$A$1:$E$176</definedName>
    <definedName name="_xlnm.Print_Area" localSheetId="5">'B3) TÉCNICO DE EDIFICAÇÕES'!$A$1:$E$171</definedName>
    <definedName name="_xlnm.Print_Area" localSheetId="6">'C) Interior'!$A$1:$C$41</definedName>
    <definedName name="_xlnm.Print_Area" localSheetId="7">'D) Serv. Eventuais '!$A$1:$I$34</definedName>
    <definedName name="_xlnm.Print_Area" localSheetId="8">'E) Materiais Reposição'!$A$1:$I$320</definedName>
    <definedName name="_xlnm.Print_Area" localSheetId="10">'F) RESUMO'!$A$1:$F$68</definedName>
    <definedName name="_xlnm.Print_Area" localSheetId="9">'F0)Comp.Serv. Especializado'!$A$1:$I$29</definedName>
    <definedName name="_xlnm.Print_Area" localSheetId="0">'Instruções'!$A$1:$O$53</definedName>
  </definedNames>
  <calcPr fullCalcOnLoad="1"/>
</workbook>
</file>

<file path=xl/sharedStrings.xml><?xml version="1.0" encoding="utf-8"?>
<sst xmlns="http://schemas.openxmlformats.org/spreadsheetml/2006/main" count="2678" uniqueCount="1074">
  <si>
    <t xml:space="preserve">RELÉ SUPERVISOR TRIFÁSICO - RST </t>
  </si>
  <si>
    <t xml:space="preserve">Sensor de Tensão (Falta de Fase /Subtensão / Sobretensão) </t>
  </si>
  <si>
    <t xml:space="preserve">Relé Falta de Fase </t>
  </si>
  <si>
    <t>11933/ORSE</t>
  </si>
  <si>
    <t>Celulas de Banco de capacitores 30,0 kVAr - 440V - 60 Hz</t>
  </si>
  <si>
    <t>LUVA DE UNIÃO DE PVC SOLDÁVEL DE 50MM</t>
  </si>
  <si>
    <t>MANGUEIRA DE INCENDIO, TIPO 2, DE 1 1/2", COMPRIMENTO = 20 M, TECIDO EM FIO DE POLIESTER E TUBO INTERNO EM BORRACHA SINTETICA, COM UNIOES</t>
  </si>
  <si>
    <t>MANGUEIRA DE INCENDIO, TIPO 2, DE 1 1/2", COMPRIMENTO = 30 M, TECIDO EM FIO DE POLIESTER E TUBO INTERNO EM BORRACHA SINTETICA, COM UNIOES</t>
  </si>
  <si>
    <t>CHAVE DE FLUXO PARA SISTEMAS DE INCÊNDIO</t>
  </si>
  <si>
    <t>6631/ORSE</t>
  </si>
  <si>
    <t>ESGUICHO JATO REGULAVEL, TIPO ELKHART, ENGATE RAPIDO 1 1/2", PARA COMBATE A INCENDIO</t>
  </si>
  <si>
    <t>Técnico de Segurança do Trabalho</t>
  </si>
  <si>
    <t>SEINFRA</t>
  </si>
  <si>
    <t>TRT</t>
  </si>
  <si>
    <t>Eletricista (Atendimento Emergencial)</t>
  </si>
  <si>
    <r>
      <t xml:space="preserve">Esta composição contempla todos os serviços especializados e de supervisão técnica da contratação tais como os serviços relacionados no </t>
    </r>
    <r>
      <rPr>
        <b/>
        <sz val="11"/>
        <color indexed="8"/>
        <rFont val="Arial Narrow"/>
        <family val="2"/>
      </rPr>
      <t>item 3.4.3,</t>
    </r>
    <r>
      <rPr>
        <sz val="11"/>
        <color indexed="8"/>
        <rFont val="Arial Narrow"/>
        <family val="2"/>
      </rPr>
      <t xml:space="preserve"> análise de óleo de Transformadores, Termografia, Inspeção em SPDA e demais serviços especializados de equipes não residentes.</t>
    </r>
  </si>
  <si>
    <t>O Item 1.6 contempla a capacitação em Segurança do Trabalho de duas horas mensais no TRT e Fórum totalizando 48 horas / ano</t>
  </si>
  <si>
    <t>ADAPTADOR PVC SOLDAVEL CURTO COM BOLSA E ROSCA, 25 MM X 3/4", PARA AGUA FRIA CROMADO, 1/2" - 15 MM</t>
  </si>
  <si>
    <t>SPRINKLER TIPO PENDENTE, 68 GRAUS CELSIUS (BULBO VERMELHO), ACABAMENTO CROMADO, 1/2" - 15 MM</t>
  </si>
  <si>
    <r>
      <t xml:space="preserve">Valor mensal estimado com análise e reparos de bombas, compressores, grupos geradores, transformadores e disjuntores, conforme </t>
    </r>
    <r>
      <rPr>
        <b/>
        <sz val="10"/>
        <rFont val="Arial"/>
        <family val="2"/>
      </rPr>
      <t>item 3.6.2</t>
    </r>
    <r>
      <rPr>
        <sz val="10"/>
        <rFont val="Arial"/>
        <family val="2"/>
      </rPr>
      <t xml:space="preserve"> do termo de referência</t>
    </r>
  </si>
  <si>
    <r>
      <t xml:space="preserve">Supervisão Técnica e Serviços Especializados, conforme </t>
    </r>
    <r>
      <rPr>
        <b/>
        <sz val="10"/>
        <rFont val="Arial"/>
        <family val="2"/>
      </rPr>
      <t>item 3.9</t>
    </r>
    <r>
      <rPr>
        <sz val="10"/>
        <rFont val="Arial"/>
        <family val="2"/>
      </rPr>
      <t xml:space="preserve"> do termo de referência</t>
    </r>
  </si>
  <si>
    <t>D - Planilha de Serviços Eventuais  - Os preços de referência foram obtidos através de composição própria e e podem ser alterados, porém valores muito divergentes deverão ser justificados e estarão sujeitos a comprovação; Esta planilha formará os custos de Serviços Eventuais no Interior do Estado a serem pagos  por ocorrência, através de Nota Fiscal; Conforme Item 3.5  do Termo de Referência;</t>
  </si>
  <si>
    <t>E - Planilhas de Materiais de Reposição Elétrica, Hidráulica e Civil  - Os preços de referência foram obtidos através das planilhas SINAPI, SEINFRA, ORSE e Pesquisa de Mercado e podem ser alterados, porém valores muito divergentes deverão ser justificados e estarão sujeito a comprovação; Esta planilha formará o preço de materiais de reposição a serem pagos mensalmente, por unidade utilizada, através de Nota Fiscal; Conforme Item 3.6.3  do Termo de Referência;</t>
  </si>
  <si>
    <t>CPRB</t>
  </si>
  <si>
    <t xml:space="preserve">ANEXO IX (A1) -  Planilha de Custos e Formação de Preços </t>
  </si>
  <si>
    <r>
      <rPr>
        <b/>
        <sz val="12"/>
        <rFont val="Arial Narrow"/>
        <family val="2"/>
      </rPr>
      <t>(A2) PLANILHA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COMPOSIÇÃO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DO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BDI</t>
    </r>
  </si>
  <si>
    <t>Disjuntor tripolar, termomagenético, 125A, 25 Ka - 380V</t>
  </si>
  <si>
    <t>Bianco ou Similar</t>
  </si>
  <si>
    <t>Equivalente a Sikadur e Compound Adesivo ou similar</t>
  </si>
  <si>
    <t>Relé Térmico Bimetal 3UA50 / 3UA52 /  até 30A</t>
  </si>
  <si>
    <t>Ref: COEL ou similar</t>
  </si>
  <si>
    <t>Programador Horário Digital p/ Banco de Capacitores (TIMER)</t>
  </si>
  <si>
    <t>Disjuntor tripolar, termogenético 175A, 25 kA - 380V</t>
  </si>
  <si>
    <t>Disjuntor tripolar, termomagnético 500A - 600 A com ajuste de disparo</t>
  </si>
  <si>
    <t>Elos Fusiveis para Média Tensão</t>
  </si>
  <si>
    <t>Cabo Fléxível Classe 5</t>
  </si>
  <si>
    <t xml:space="preserve">Tipo Olhal ou  Split bolt </t>
  </si>
  <si>
    <t>Fusível NH 160A - 1/gl</t>
  </si>
  <si>
    <t xml:space="preserve">Cordoalha de Cobre para SPDA / Aterramento 50mm2 </t>
  </si>
  <si>
    <t>CONTATOR TRIPOLAR DE POTENCIA 185A (500V) CATEGORIA AC-2 E AC-3</t>
  </si>
  <si>
    <t>LUMINÁRIA COM 30 LEDS PARA ILUMINAÇÃO DE EMERGÊNCIA - 7HR DE AUTONOMIA</t>
  </si>
  <si>
    <t>Ref: Deca, Fabrimar ou DOCOL</t>
  </si>
  <si>
    <t>Impermeabilizante Tipo Igolflex / Vedacit</t>
  </si>
  <si>
    <t>Referências  dos modelos Existentes</t>
  </si>
  <si>
    <t>08988 /ORSE</t>
  </si>
  <si>
    <t xml:space="preserve">03016/ORSE </t>
  </si>
  <si>
    <t>SERVIÇO DE MANUTENÇÃO PREVENTIVA E CORRETIVA NO INTERIOR, SEM MÃO DE OBRA RESIDENTE,  COM VISITA PREVENTIVA A CADA 3 MESES E CORRETIVA QUANDO NECESSÁRIO</t>
  </si>
  <si>
    <t>9546/ORSE</t>
  </si>
  <si>
    <t>9549/ORSE</t>
  </si>
  <si>
    <t>9272/ORSE</t>
  </si>
  <si>
    <t>9271/ORSE</t>
  </si>
  <si>
    <t>9553/ORSE</t>
  </si>
  <si>
    <t>9270/ORSE</t>
  </si>
  <si>
    <t>Aspersor p/irrigação ref.5004 PLUS PC/FC, marca Rain Bird ou similar</t>
  </si>
  <si>
    <t xml:space="preserve"> Aspersor p/irrigação Unispray, marca Rain Bird ou similar</t>
  </si>
  <si>
    <t>Controlador central p/sist.de irrigação modelo ESP-LX modular, 16 estações, gabinete de parede, Rain Bird ou similar</t>
  </si>
  <si>
    <t>Sensor de chuva p/redes de irrigação, modelo RSD-Bex, marca Rain Bird ou similar</t>
  </si>
  <si>
    <t>Valvula p/irrigação 150PGA 1 1/2" - 1 1/4", marca Rain Bird ou similar</t>
  </si>
  <si>
    <t>Válvula solenoide p/irrigação modelo 75-DV 3/4", marca Rain Bird ou similar</t>
  </si>
  <si>
    <t xml:space="preserve"> Disjuntor a Vacuo 15KV, marca BEGHIM, tipo MAF 15-630-350, manual c/relé URPE 7104 + jg de contato 3NF+3NA, bobina de fechamento, bloqueio KIRK, disparador TCC, bobina abert.+3TCs (ou similar)</t>
  </si>
  <si>
    <t xml:space="preserve">09211/ORSE </t>
  </si>
  <si>
    <t xml:space="preserve"> Disjuntor pequeno volume de óleo, ref:PLC-15-350-630, com carrinho e rodas de sustentação, exclusive relé, marca BEGHIM ou similar</t>
  </si>
  <si>
    <t xml:space="preserve">07010/ORSE </t>
  </si>
  <si>
    <t>5) Estima-se uma ocorrência de manutenção corretiva por trimestre por Vara do Trabalho.</t>
  </si>
  <si>
    <t>Detector de tensão sonoro visual 600 V</t>
  </si>
  <si>
    <t xml:space="preserve"> P.J. JUSTIÇA DO TRABALHO </t>
  </si>
  <si>
    <t xml:space="preserve"> TRIBUNAL REGIONAL DO TRABALHO DA 7ª REGIÃO </t>
  </si>
  <si>
    <t>Discriminação dos Serviços (dados referentes à contratação)</t>
  </si>
  <si>
    <t>Tipo de Serviço (mesmo serviço com características distintas)</t>
  </si>
  <si>
    <t>Eletricista II</t>
  </si>
  <si>
    <t>Posto de trabalho</t>
  </si>
  <si>
    <t>Salário normativo da categoria profissional</t>
  </si>
  <si>
    <t>Categoria profissional vinculada à execução contratual</t>
  </si>
  <si>
    <t>Quantidade total a contratar em função da unidade de medida</t>
  </si>
  <si>
    <t>MÓDULO 1 - COMPOSIÇÃO DA REMUNERAÇÃO</t>
  </si>
  <si>
    <t>Adicional Periculosidade</t>
  </si>
  <si>
    <t>% de desconto/ incidência</t>
  </si>
  <si>
    <t>Cesta básica</t>
  </si>
  <si>
    <t>Plano de saúde/Assistência médica</t>
  </si>
  <si>
    <t>SESI OU SESC</t>
  </si>
  <si>
    <t>SENAI OU SENAC</t>
  </si>
  <si>
    <t>Seguro acidente do trabalho</t>
  </si>
  <si>
    <t>(Total da remuneração x 8,33%)</t>
  </si>
  <si>
    <t>Férias e terço constitucional de férias</t>
  </si>
  <si>
    <t>Qtd. Média de ausências por doença por ano</t>
  </si>
  <si>
    <t>Qtd. Média de dias de licença paternidade</t>
  </si>
  <si>
    <t>Base para o cálculo dos tributos</t>
  </si>
  <si>
    <t>C.1</t>
  </si>
  <si>
    <t>Tributos Federais</t>
  </si>
  <si>
    <t>C.2</t>
  </si>
  <si>
    <t>Tributos Estaduais/Municipais</t>
  </si>
  <si>
    <t>QUADRO RESUMO DO CUSTO POR POSTO</t>
  </si>
  <si>
    <t>Módulo 1 - Composição da remuneração</t>
  </si>
  <si>
    <t>VALOR TOTAL POR POSTO</t>
  </si>
  <si>
    <t>Quantidade de postos</t>
  </si>
  <si>
    <t>Preço mensal do serviço c/ todos os postos</t>
  </si>
  <si>
    <t>CONTA VINCULADA - ENCARGOS TRABALHISTAS A SEREM PROVISIONADOS</t>
  </si>
  <si>
    <t>Ferramentas</t>
  </si>
  <si>
    <t>TE FERRO GALVANIZADO 90G 1"</t>
  </si>
  <si>
    <t>TE FERRO GALVANIZADO 90G 3/4"</t>
  </si>
  <si>
    <t>TE SOLDAVEL, PVC, 90 GRAUS, 25 MM, PARA AGUA FRIA PREDIAL (NBR 5648)</t>
  </si>
  <si>
    <t>JOELHO PVC, SOLDAVEL, COM BUCHA DE LATAO, 90 GRAUS, 25 MM X 1/2", PARA AGUA FRIA</t>
  </si>
  <si>
    <t>JOELHO PVC, SOLDAVEL, COM BUCHA DE LATAO, 90 GRAUS, 25 MM X 3/4", PARA AGUA FRIA</t>
  </si>
  <si>
    <t>JOELHO PVC,90 GRAUS, ROSCAVEL, 2", AGUA FRIA PREDIAL</t>
  </si>
  <si>
    <t>LUVA DE FERRO GALVANIZADO, COM ROSCA BSP, DE 1/2"</t>
  </si>
  <si>
    <t>LUVA DE FERRO GALVANIZADO, COM ROSCA BSP, DE 1"</t>
  </si>
  <si>
    <t>LUVA DE FERRO GALVANIZADO, COM ROSCA BSP, DE 3/4"</t>
  </si>
  <si>
    <t>COTOVELO45 GRAUS DE FERRO GALVANIZADO, COM ROSCA BSP, DE 2 1/2"</t>
  </si>
  <si>
    <t>CURVA90 GRAUS DE FERRO GALVANIZADO, COM ROSCA BSP FEMEA, DE 1/2"</t>
  </si>
  <si>
    <t>CURVA90 GRAUS DE FERRO GALVANIZADO, COM ROSCA BSP MACHO/FEMEA, DE 1/2"</t>
  </si>
  <si>
    <t>ORSE</t>
  </si>
  <si>
    <t>ARGAMASSA COLANTE AC-II</t>
  </si>
  <si>
    <t>ARGAMASSA COLANTE TIPO ACIII</t>
  </si>
  <si>
    <t>ADESIVO ESTRUTURAL A BASE DE RESINA EPOXI, BICOMPONENTE, PASTOSO</t>
  </si>
  <si>
    <t>ADITIVO IMPERMEABILIZANTE DE PEGA NORMAL PARA ARGAMASSAS E CONCRETOS SEM ARMACAO</t>
  </si>
  <si>
    <t>ADITIVO ADESIVO LIQUIDO PARA ARGAMASSAS DE REVESTIMENTOS CIMENTICIOS</t>
  </si>
  <si>
    <t>TINTA EPOXI</t>
  </si>
  <si>
    <t>I8588</t>
  </si>
  <si>
    <t>I2233</t>
  </si>
  <si>
    <t>I8924</t>
  </si>
  <si>
    <t>Custo com Manutenção Corretiva (Quadrim.)</t>
  </si>
  <si>
    <t>Valor estimado por região/ quadrimestre</t>
  </si>
  <si>
    <t>Central</t>
  </si>
  <si>
    <t>Norte</t>
  </si>
  <si>
    <t>Vara de Crato</t>
  </si>
  <si>
    <t>Cariri</t>
  </si>
  <si>
    <t>Vara de Juazeiro do Norte</t>
  </si>
  <si>
    <t>Metropolitana</t>
  </si>
  <si>
    <t>CUSTO ESTIMADO POR QUADRIMESTRE</t>
  </si>
  <si>
    <t>CUSTO ESTIMADO ANUAL</t>
  </si>
  <si>
    <t>1) No valor dos serviços  prestados, relativos à manutenção preventiva e corretiva, devem estar incluídos toda a mão de obra com seus encargos e insumos, os materiais de consumo, o  custo pela disponibilização de ferramentas e equipamentos utilizados, bem</t>
  </si>
  <si>
    <t>2) Para o custo quadrimestral das Manutenções Preventivas nas Varas do Interior foram consideradas 5(cinco) diárias de cada profissional acrescida o valor do deslocamento por região (rota).</t>
  </si>
  <si>
    <t>1) Metropolitana (Maranguape, Maracanaú, Caucaia, Pacajús e Eusébio)</t>
  </si>
  <si>
    <t>2) Central (Baturité, Quixadá, Limoeiro do Norte e Aracati)</t>
  </si>
  <si>
    <t>3) Cariri (Iguatu, Crato e Juazeiro do Norte)</t>
  </si>
  <si>
    <t>4) Norte (Sobral, Tianguá e Crateús)</t>
  </si>
  <si>
    <t>4) o Custo com deslocamento foi estimado considerando a Gasolina a R$ 2,8 (I2707 - SEINFRA) e rendimento de 10 Km/l</t>
  </si>
  <si>
    <t>5) O Custo dos serviços na região metropolitna não considerou diárias e hospedagens</t>
  </si>
  <si>
    <t>SELIC</t>
  </si>
  <si>
    <t>Despeças Financeiras - DF*</t>
  </si>
  <si>
    <t>Os valores de PIS/COFINS deverão ser preenchidos de acordo com o regime tributário da CONTRATADA, sujeito a comprovação</t>
  </si>
  <si>
    <t>OBS: Somente deverão ser preenchidos as células em amarelo</t>
  </si>
  <si>
    <t>Fonte</t>
  </si>
  <si>
    <t>Cod.</t>
  </si>
  <si>
    <t>SEINFRA/CE</t>
  </si>
  <si>
    <t>I2155</t>
  </si>
  <si>
    <t>I2152</t>
  </si>
  <si>
    <t>MERCADO</t>
  </si>
  <si>
    <t>I7408</t>
  </si>
  <si>
    <t>SINAPI/CEF</t>
  </si>
  <si>
    <t>I0199</t>
  </si>
  <si>
    <t>I1015</t>
  </si>
  <si>
    <t>I1003</t>
  </si>
  <si>
    <t>I7431</t>
  </si>
  <si>
    <t>I2315</t>
  </si>
  <si>
    <t>I0376</t>
  </si>
  <si>
    <t>I0377</t>
  </si>
  <si>
    <t>I1208</t>
  </si>
  <si>
    <t>I1209</t>
  </si>
  <si>
    <t>I0201</t>
  </si>
  <si>
    <t>I0202</t>
  </si>
  <si>
    <t>I0203</t>
  </si>
  <si>
    <t>I0204</t>
  </si>
  <si>
    <t>I1850</t>
  </si>
  <si>
    <t>I7415</t>
  </si>
  <si>
    <t>I1271</t>
  </si>
  <si>
    <t>I1535</t>
  </si>
  <si>
    <t>I1244</t>
  </si>
  <si>
    <t>I1243</t>
  </si>
  <si>
    <t>I1898</t>
  </si>
  <si>
    <t>I0330</t>
  </si>
  <si>
    <t>I0850</t>
  </si>
  <si>
    <t>I0648</t>
  </si>
  <si>
    <t>I0053</t>
  </si>
  <si>
    <t>I0054</t>
  </si>
  <si>
    <t>I0055</t>
  </si>
  <si>
    <t>I0546</t>
  </si>
  <si>
    <t>I7410</t>
  </si>
  <si>
    <t>I2261</t>
  </si>
  <si>
    <t>I2262</t>
  </si>
  <si>
    <t>I2263</t>
  </si>
  <si>
    <t>I7542</t>
  </si>
  <si>
    <t>I7543</t>
  </si>
  <si>
    <t>I2148</t>
  </si>
  <si>
    <t>I2145</t>
  </si>
  <si>
    <t>I2146</t>
  </si>
  <si>
    <t>I7416</t>
  </si>
  <si>
    <t>I0192</t>
  </si>
  <si>
    <t>I8441</t>
  </si>
  <si>
    <t>I2223</t>
  </si>
  <si>
    <t>I2079</t>
  </si>
  <si>
    <t>I7557</t>
  </si>
  <si>
    <t>I2425</t>
  </si>
  <si>
    <t>I8289</t>
  </si>
  <si>
    <t>Total</t>
  </si>
  <si>
    <t>Região / Rota</t>
  </si>
  <si>
    <t>Leste</t>
  </si>
  <si>
    <t>Metrop.</t>
  </si>
  <si>
    <t>I8211</t>
  </si>
  <si>
    <t>CHAVE FUSÍVEL INDICADORA UNIPOLAR 15KV-300A CORRENTE RUPTURA 2,0 KV</t>
  </si>
  <si>
    <t>TUBO PVC SERIE NORMAL, DN 40 MM, PARA ESGOTO PREDIAL (NBR 5688)</t>
  </si>
  <si>
    <t>TUBO PVC SERIE NORMAL, DN 75 MM, PARA ESGOTO PREDIAL (NBR 5688)</t>
  </si>
  <si>
    <t>TUBO PVC SERIE NORMAL, DN 50 MM, PARA ESGOTO PREDIAL (NBR 5688)</t>
  </si>
  <si>
    <t>LUVA DE FERRO GALVANIZADO, COM ROSCA BSP, DE 1 1/2"</t>
  </si>
  <si>
    <t>LUVA DE FERRO GALVANIZADO, COM ROSCA BSP, DE 2"</t>
  </si>
  <si>
    <t>LUVA DE FERRO GALVANIZADO, COM ROSCA BSP, DE 2 1/2"</t>
  </si>
  <si>
    <t>UNIAO DE FERRO GALVANIZADO, COM ROSCA BSP, COM ASSENTO PLANO, DE 1 1/2"</t>
  </si>
  <si>
    <t>UNIAO DE FERRO GALVANIZADO, COM ROSCA BSP, COM ASSENTO PLANO, DE 2"</t>
  </si>
  <si>
    <t>CIMENTO BRANCO</t>
  </si>
  <si>
    <t>IMPERMEABILIZANTE FLEXIVEL BRANCO DE BASE ACRILICA PARA COBERTURAS</t>
  </si>
  <si>
    <t>CUMEEIRA UNIVERSAL PARA TELHA DE FIBROCIMENTO ONDULADA, E = 6MM, DE 1,10 X 0,21 UN 34,00
M (SEM AMIANTO)</t>
  </si>
  <si>
    <t>TELHA DE FIBROCIMENTO ONDULADA E = 8 MM, DE 2,44 X 1,10 M (SEM AMIANTO)</t>
  </si>
  <si>
    <t>PODER JUDICIÁRIO</t>
  </si>
  <si>
    <t>JUSTIÇA DO TRABALHO</t>
  </si>
  <si>
    <t>TRIBUNAL REGIONAL DO TRABALHO DA 7ª REGIÃO</t>
  </si>
  <si>
    <t>ANEXO IX - PLANILHAS FORMAÇÃO DE CUSTOS</t>
  </si>
  <si>
    <t xml:space="preserve">OBSERVAÇÕES GERAIS </t>
  </si>
  <si>
    <t>1)</t>
  </si>
  <si>
    <t>Somente deverão ser preenchidas as células em Amarelo.</t>
  </si>
  <si>
    <t>2)</t>
  </si>
  <si>
    <t>As fórmulas não deverão ser alteradas, com exceção das células em Amarelo.</t>
  </si>
  <si>
    <t xml:space="preserve">3) </t>
  </si>
  <si>
    <t>4) Deverão ser preenchidas na seguinte ordem:</t>
  </si>
  <si>
    <t>ITEM</t>
  </si>
  <si>
    <t>Descrição</t>
  </si>
  <si>
    <t>Quant.</t>
  </si>
  <si>
    <t>Alavanca comprim. 1,5m</t>
  </si>
  <si>
    <t>unid.</t>
  </si>
  <si>
    <t>Alicate amperímetro digital, com escala de 20 a 1000a e pontas de prova.</t>
  </si>
  <si>
    <t>unid</t>
  </si>
  <si>
    <t>Alicate profissional de bico longo, com cabo laranja e isolamento para 1000v, fabricação nacional;</t>
  </si>
  <si>
    <t>Alicate profissional, tipo universal 8”, com cabo laranja e isolamento para 1000v</t>
  </si>
  <si>
    <t>Alicate profissional de corte 4 1/2”, com cabo laranja e isolamento para 1000v</t>
  </si>
  <si>
    <t>Andaimes –  40 peças de 1,5 metros c/ 6 contraventamentos</t>
  </si>
  <si>
    <t>Arco de serra</t>
  </si>
  <si>
    <t>Balde 10 litros</t>
  </si>
  <si>
    <t>Bandeja plastica para pinturas (rolo 23cm)</t>
  </si>
  <si>
    <t>Bolsa de ferramentas com alça para uso a tiracolo, que acomode, com folga, os materiais fornecidos de uso cotidiano;</t>
  </si>
  <si>
    <t>Carro de mão pneu balão</t>
  </si>
  <si>
    <t>Conjunto de Chaves combinadas/Canhão de 6 a 32mm, cromo vanadium para Parafuso, porca Sextavada e Quadradas</t>
  </si>
  <si>
    <t>conjunto</t>
  </si>
  <si>
    <t>Chave grifo 12 “, 14”, 18” e 24”</t>
  </si>
  <si>
    <t xml:space="preserve">Colher de pedreiro 7” e 9” </t>
  </si>
  <si>
    <t>Conjunto</t>
  </si>
  <si>
    <t>Desempenadeira de aço com dentes</t>
  </si>
  <si>
    <t xml:space="preserve">und. </t>
  </si>
  <si>
    <t>Desempenadeira de madeira 17 x 30</t>
  </si>
  <si>
    <t>Enxada com cabo</t>
  </si>
  <si>
    <t>Esmerilhadeira 4 1/2”</t>
  </si>
  <si>
    <t>Jogo de serras copo 19mm a 64mm c/ suportes (11pçs)</t>
  </si>
  <si>
    <t>Marreta de 1 kg c/ cabo</t>
  </si>
  <si>
    <t>Marreta de 1,5 kg c/ cabo</t>
  </si>
  <si>
    <t>Martelete perfurador e rompedor</t>
  </si>
  <si>
    <t>Martelo nº 25mm</t>
  </si>
  <si>
    <t>Nível de alumínio 40cm</t>
  </si>
  <si>
    <t>Pá de bico</t>
  </si>
  <si>
    <t>Pá quadrada</t>
  </si>
  <si>
    <t>Ponteiro de aço</t>
  </si>
  <si>
    <t>Prumo de face</t>
  </si>
  <si>
    <t>Riscadeira 80cm</t>
  </si>
  <si>
    <t>Serrote 7”</t>
  </si>
  <si>
    <t>Termômetro Infravermelho Portátil</t>
  </si>
  <si>
    <t>Und.</t>
  </si>
  <si>
    <t>Teste de neon tipo fenda;</t>
  </si>
  <si>
    <t>Torno de encanador nº 04</t>
  </si>
  <si>
    <t>und.</t>
  </si>
  <si>
    <t>Torquês 12” (ferreiro armador)</t>
  </si>
  <si>
    <t>Torques 5”</t>
  </si>
  <si>
    <t>Custo total de equipamentos</t>
  </si>
  <si>
    <t>Depreciação (considerando 60 meses)</t>
  </si>
  <si>
    <t>Perdas/reposição durante o contrato (10%)</t>
  </si>
  <si>
    <t>Qtd de postos de serviço</t>
  </si>
  <si>
    <t>Valor por posto de serviço (mensal)</t>
  </si>
  <si>
    <t>A</t>
  </si>
  <si>
    <t>Data de apresentação da proposta (dia/mês/ano)</t>
  </si>
  <si>
    <t>B</t>
  </si>
  <si>
    <t>Município/UF</t>
  </si>
  <si>
    <t>C</t>
  </si>
  <si>
    <t>Nº de meses de execução contratual</t>
  </si>
  <si>
    <t>Unidade de medida</t>
  </si>
  <si>
    <t>Data base da categoria (dia/mês/ano)</t>
  </si>
  <si>
    <t>%</t>
  </si>
  <si>
    <t>Valor (R$)</t>
  </si>
  <si>
    <t>Outros (especificar)</t>
  </si>
  <si>
    <t>Transporte</t>
  </si>
  <si>
    <t>Auxílio alimentação (Vales, cesta básica etc.)</t>
  </si>
  <si>
    <t>D</t>
  </si>
  <si>
    <t>Auxílio creche</t>
  </si>
  <si>
    <t>% Incid. de ocorrência</t>
  </si>
  <si>
    <t>E</t>
  </si>
  <si>
    <t>F</t>
  </si>
  <si>
    <t>Uniformes</t>
  </si>
  <si>
    <t>4.1</t>
  </si>
  <si>
    <t>INCRA</t>
  </si>
  <si>
    <t>Salário Educação</t>
  </si>
  <si>
    <t>FGTS</t>
  </si>
  <si>
    <t>G</t>
  </si>
  <si>
    <t>H</t>
  </si>
  <si>
    <t>SEBRAE</t>
  </si>
  <si>
    <t>I0368</t>
  </si>
  <si>
    <t>I0371</t>
  </si>
  <si>
    <t>I9074</t>
  </si>
  <si>
    <t>CABO EM PVC 1000V 300MM2</t>
  </si>
  <si>
    <t>TOTAL</t>
  </si>
  <si>
    <t>4.2</t>
  </si>
  <si>
    <t>13º Salário</t>
  </si>
  <si>
    <t>Subtotal</t>
  </si>
  <si>
    <t>4.3</t>
  </si>
  <si>
    <t>Meses de afastamento</t>
  </si>
  <si>
    <t>Aviso prévio indenizado</t>
  </si>
  <si>
    <t>(Total da remuneração ÷ Meses do ano) x Porcentagem de dispensa sem justa causa com aviso-prévio indenizado (API)</t>
  </si>
  <si>
    <t>Incidência do FGTS sobre aviso prévio indenizado</t>
  </si>
  <si>
    <t>Aviso prévio trabalhado</t>
  </si>
  <si>
    <t>Ausências legais</t>
  </si>
  <si>
    <t>Qtd. de dias pago pela empresa</t>
  </si>
  <si>
    <t>Afastamento maternidade</t>
  </si>
  <si>
    <t>Tributos</t>
  </si>
  <si>
    <t>PIS</t>
  </si>
  <si>
    <t>INSS</t>
  </si>
  <si>
    <t>COFINS</t>
  </si>
  <si>
    <t>ISS</t>
  </si>
  <si>
    <t>Lucro</t>
  </si>
  <si>
    <t>Notas:</t>
  </si>
  <si>
    <t>Técnico em Edificações (44 h/semana)</t>
  </si>
  <si>
    <t>ANEXO IX C - Planilha de Manutenção Preventiva e Corretiva no Interior</t>
  </si>
  <si>
    <t>SERVIÇO DE MANUTENÇÃO PREVENTIVA E CORRETIVA NO INTERIOR, SEM MÃO DE OBRA RESIDENTE,  COM VISITA PREVENTIVA A CADA 4 MESES E CORRETIVA QUANDO NECESSÁRIO</t>
  </si>
  <si>
    <t>LOCAL</t>
  </si>
  <si>
    <t>Vara de Baturité</t>
  </si>
  <si>
    <t>Vara de Limoeiro do Norte</t>
  </si>
  <si>
    <t xml:space="preserve">Vara de Quixadá </t>
  </si>
  <si>
    <t>Posto avançado de Aracati</t>
  </si>
  <si>
    <t>Vara de Crateús</t>
  </si>
  <si>
    <t xml:space="preserve">Vara de Sobral </t>
  </si>
  <si>
    <t xml:space="preserve">Vara de Tianguá </t>
  </si>
  <si>
    <t>Vara de Iguatu</t>
  </si>
  <si>
    <t>VALOR ANUAL</t>
  </si>
  <si>
    <t>NOTAS:</t>
  </si>
  <si>
    <t>1) No valor dos serviços  prestados, relativos à manutenção preventiva e corretiva, devem estar incluídos toda a mão de obra com seus encargos e insumos, os materiais de consumo, o  custo pela disponibilização de ferramentas e equipamentos utilizados, bem como todos os custos indiretos, lucro e tributos envolvidos na prestação dos serviços.</t>
  </si>
  <si>
    <t>3) Visando economicidade de tempo e deslocamento, as manutenções preventivas realizadas no interior devem ser realizadas em rotas. Como sugestão, seguem as seguintes rotas:</t>
  </si>
  <si>
    <t>B) Leste (Baturité, Quixadá, Limoeiro do Norte e Aracati)</t>
  </si>
  <si>
    <t>Composição do BDI de Serviços</t>
  </si>
  <si>
    <t>Despesas Administrativas - DA</t>
  </si>
  <si>
    <t>Lucro Bruto</t>
  </si>
  <si>
    <t>Tributos - T</t>
  </si>
  <si>
    <t>BDI</t>
  </si>
  <si>
    <t>ANEXO IX D - SERVIÇOS EVENTUAIS NO INTERIOR, SEM MÃO DE OBRA RESIDENTE</t>
  </si>
  <si>
    <t>Serviços Eventuais no Interior</t>
  </si>
  <si>
    <t>Somente deverão ser alteradas as células em Amarelo</t>
  </si>
  <si>
    <t>Valor unitário dos materiais de reposição elétrico, hidráulico e construção civil</t>
  </si>
  <si>
    <t>Descrição dos modelos Existentes</t>
  </si>
  <si>
    <t>Descrição Tabelas Oficiais</t>
  </si>
  <si>
    <t>Valor Unitário sem BDI</t>
  </si>
  <si>
    <t>Valor Unitário com BDI</t>
  </si>
  <si>
    <t>Qtd. Mensal Estimada</t>
  </si>
  <si>
    <t>Valor Total/ Mês Estimado</t>
  </si>
  <si>
    <t>TRANSFORMADOR CORRENTE EM QD DE 500 - 800/5A</t>
  </si>
  <si>
    <t>UN</t>
  </si>
  <si>
    <t>TRANSFORMADOR CORRENTE EM QD DE 100 - 250/5A</t>
  </si>
  <si>
    <t>RELÉ TEMPORISADOR ELETRÔNICO (Siemens) 6A 30 seg</t>
  </si>
  <si>
    <t>Botoeira de Comando LIGA/DESLIGA 1NA/NF</t>
  </si>
  <si>
    <t>BOTÃO DE COMANDO DN 22,5mm 2 CONTATOS</t>
  </si>
  <si>
    <t>Base para fusível Diazed até 25A</t>
  </si>
  <si>
    <t>BASE FUSIVEL DIAZED 25A. COMPLETA</t>
  </si>
  <si>
    <t>DISJUNTOR TERMOMAGNETICO TRIPOLAR 125A</t>
  </si>
  <si>
    <t>DISJUNTOR TERMOMAGNETICO TRIPOLAR 150A/600V, TIPO FXD/35KA SIEMENS OU EQUIV</t>
  </si>
  <si>
    <t>DISJUNTOR TRIPOLAR COMPACTO DE - 175A</t>
  </si>
  <si>
    <t>DISJUNTOR TERMOMAGNETICO TRIPOLAR 200A/600V, TIPO FXD/35KA SIEMENS OU EQUIV</t>
  </si>
  <si>
    <t>DISJUNTOR TERMOMAGNETICO TRIPOLAR 400A/600V, TIPO JXD/40KA SIEMENS OU EQUIV</t>
  </si>
  <si>
    <t>DISJUNTOR TERMOMAGNETICO TRIPOLAR 600A/600V, TIPO LXD/40KA SIEMENS OU EQUIV</t>
  </si>
  <si>
    <t>Disjuntor Termomagnético com Regulador de Disparo 1N 630A</t>
  </si>
  <si>
    <t>DISJUNTOR TIPO COMPACTO E ABERTO 3X630A</t>
  </si>
  <si>
    <t>DISJUNTOR TERMOMAGNETICO TRIPOLAR 800A/600V, TIPO LMXD SIEMENS OU EQUIV</t>
  </si>
  <si>
    <t>CHAVE SECCIONADORA TRIPOLAR P/ MEDIA TENSAO 400A/15KV, C/ COMANDO MANUAL SIMULTANEO NAS 3 FASES ATRAVES DE PUNHO</t>
  </si>
  <si>
    <t>Chave sec. c/ porta fusível, 3 polos acionamento (abertura simultanea) 17kV</t>
  </si>
  <si>
    <t>CHAVE SECCIONADORA C/ FUSÍVEL, ABERTURA SOB CARGA, 15 kV, 160 A</t>
  </si>
  <si>
    <t>ELO FUSIVEL 3H</t>
  </si>
  <si>
    <t>Celulas de Banco de capacitores 20,0 kVAr - 440V - 60 Hz</t>
  </si>
  <si>
    <t>Celulas de Banco de capacitores 17,5 kVAr - 440V - 60 Hz</t>
  </si>
  <si>
    <t>Celulas de Banco de capacitores 15,0 kVAr - 440V - 60 Hz</t>
  </si>
  <si>
    <t>Celulas de Banco de capacitores 12,5 kVAr - 440V - 60 Hz</t>
  </si>
  <si>
    <t>Celulas de Banco de capacitores 10,0 kVAr - 440V - 60 Hz</t>
  </si>
  <si>
    <t>Celulas de Banco de capacitores 7,5 kVAr - 440V - 60 Hz</t>
  </si>
  <si>
    <t>Celulas de Banco de capacitores 5,0 kVAr - 440V - 60 Hz</t>
  </si>
  <si>
    <t>CABO EM PVC 1000V 35MM2</t>
  </si>
  <si>
    <t>M</t>
  </si>
  <si>
    <t>CABO EM PVC 1000V 50MM2</t>
  </si>
  <si>
    <t>CABO EM PVC 1000V 70MM2</t>
  </si>
  <si>
    <t>CABO EM PVC 1000V 95MM2</t>
  </si>
  <si>
    <t>CABO EM PVC 1000V 185MM2</t>
  </si>
  <si>
    <t>TERMINAL A PRESSAO 1 CABO 16MM2 C/ 1 FURO DE FIXACAO</t>
  </si>
  <si>
    <t>TERMINAL A PRESSAO 1 CABO 25MM2 C/ 1 FURO DE FIXACAO</t>
  </si>
  <si>
    <t>TERMINAL A PRESSAO 1 CABO 35MM2 C/ 1 FURO DE FIXACAO</t>
  </si>
  <si>
    <t>TERMINAL A PRESSAO 1 CABO 50MM2 C/ 1 FURO DE FIXACAO</t>
  </si>
  <si>
    <t>TERMINAL A PRESSAO 1 CABO 70MM2 C/ 1 FURO DE FIXACAO</t>
  </si>
  <si>
    <t>TERMINAL A PRESSAO 1 CABO 95MM2 C/ 1 FURO DE FIXACAO</t>
  </si>
  <si>
    <t>TERMINAL A PRESSAO 1 CABO 120MM2 C/ 1 FURO DE FIXACAO</t>
  </si>
  <si>
    <t>TERMINAL A PRESSAO 1 CABO 185MM2 C/ 1 FURO DE FIXACAO</t>
  </si>
  <si>
    <t>Fusível NH 250A - 1/gl</t>
  </si>
  <si>
    <t>Fusível NH 355A - 2/gl</t>
  </si>
  <si>
    <t>FUSIVEL NH 2 - 400A</t>
  </si>
  <si>
    <t>Fusível NH 500A - 3/gl</t>
  </si>
  <si>
    <t>FUSIVEL NH 3 - 630A</t>
  </si>
  <si>
    <t>BASE FUSIVEL NH 00 - 125A</t>
  </si>
  <si>
    <t>BASE FUSIVEL NH 1 - 250A</t>
  </si>
  <si>
    <t>BASE FUSIVEL NH 2 - 400A</t>
  </si>
  <si>
    <t>BASE FUSIVEL NH 3 - 630A</t>
  </si>
  <si>
    <t>SECCIONADOR FUSÍVEL NH 3X125A</t>
  </si>
  <si>
    <t>SECCIONADOR FUSÍVEL NH 3X250A</t>
  </si>
  <si>
    <t>SECCIONADOR FUSÍVEL NH 3X400A</t>
  </si>
  <si>
    <t>SECCIONADOR FUSÍVEL NH 3X630A</t>
  </si>
  <si>
    <t>ISOLADOR EPÓXI 1kV - 25mm</t>
  </si>
  <si>
    <t>MUFLA INTERNA/EXTERNA 15KV</t>
  </si>
  <si>
    <t>CABO COBRE NU 50MM2</t>
  </si>
  <si>
    <t>HASTE DE ATERRAMENTO COPPERWELD DE 3/4'' x 2.40M</t>
  </si>
  <si>
    <t>HASTE DE ATERRAMENTO COPPERWELD 3/4'' x 3M</t>
  </si>
  <si>
    <t>Isoladores para SPDA</t>
  </si>
  <si>
    <t>SUPORTE ISOLADOR C/1 DESCIDA</t>
  </si>
  <si>
    <t>Captor Franklin</t>
  </si>
  <si>
    <t>BUQUE NIQUELADO 4 PONTAS</t>
  </si>
  <si>
    <t>Mastro para SPDA 3m</t>
  </si>
  <si>
    <t>Sinalizador SPDA</t>
  </si>
  <si>
    <t>CONJUNTO DE ESTAIAMENTO PARA PARA-RAIOS</t>
  </si>
  <si>
    <t>ELETRODUTO DE PVC RIGIDO 3/4''</t>
  </si>
  <si>
    <t>ELETRODUTO DE PVC RIGIDO 1''</t>
  </si>
  <si>
    <t>ELETRODUTO DE PVC RIGIDO 1 1/4''</t>
  </si>
  <si>
    <t>ELETRODUTO DE PVC RIGIDO 1 1/2''</t>
  </si>
  <si>
    <t>ELETRODUTO DE PVC RIGIDO 2''</t>
  </si>
  <si>
    <t>ELETRODUTO DE PVC RIGIDO 2 1/2''</t>
  </si>
  <si>
    <t>ELETRODUTO DE PVC RIGIDO 3''</t>
  </si>
  <si>
    <t>ELETRODUTO DE PVC RIGIDO 4''</t>
  </si>
  <si>
    <t>LUVA PVC ROSCAVEL P/ ELETRODUTO 3/4"</t>
  </si>
  <si>
    <t>LUVA PVC ROSCAVEL P/ ELETRODUTO 1"</t>
  </si>
  <si>
    <t>LUVA PVC ROSCAVEL P/ ELETRODUTO 1.1/4"</t>
  </si>
  <si>
    <t>LUVA PVC ROSCAVEL P/ ELETRODUTO 1.1/2"</t>
  </si>
  <si>
    <t>LUVA PVC ROSCAVEL P/ ELETRODUTO 2''</t>
  </si>
  <si>
    <t>LUVA PVC ROSCAVEL P/ ELETRODUTO 2.1/2"</t>
  </si>
  <si>
    <t>CONTACTOR AUXILIAR 2NA + 2NF</t>
  </si>
  <si>
    <t>CONTATOR TRIPOLAR, CATEGORIA DE UTILIZAÇÃO AC-2 E AC-3, TENSÃO NOMINAL DE ATÉ 500 V, COM CORRENTE DE 9 A</t>
  </si>
  <si>
    <t>CONTATOR TRIPOLAR DE POTENCIA 12A (500V) CATEGORIA AC-2 E AC-3</t>
  </si>
  <si>
    <t>CONTATOR TRIPOLAR DE POTENCIA 22A (500V) CATEGORIA AC-2 E AC-3</t>
  </si>
  <si>
    <t>CONTATOR TRIPOLAR DE POTENCIA 25A (500V) CATEGORIA AC-2 E AC-3</t>
  </si>
  <si>
    <t>CONTATOR TRIPOLAR DE POTENCIA 32A (500V) CATEGORIA AC-2 E AC-3</t>
  </si>
  <si>
    <t>CONTATOR TRIPOLAR DE POTENCIA 45A (500V) CATEGORIA AC-2 E AC-3</t>
  </si>
  <si>
    <t>CONTATOR TRIPOLAR DE POTENCIA 75A (500V) CATEGORIA AC-2 E AC-3</t>
  </si>
  <si>
    <t>Contactor com Intertravamento Eletro Mecanico Ui=1000V I = 145A</t>
  </si>
  <si>
    <t>-</t>
  </si>
  <si>
    <t>AMPERIMETRO ( 72 X 72 )MM - ESC. 0 - 250A</t>
  </si>
  <si>
    <t>AMPERIMETRO (144 X 144)MM - ESC. 0 - 100A</t>
  </si>
  <si>
    <t>AMPERIMETRO (96 X 96)MM - ESC. 0 A 500A</t>
  </si>
  <si>
    <t>CHAVE COMUTADORA P/ AMPERIMETRO/VOLTIMETRO</t>
  </si>
  <si>
    <t>TRILHO SUPORTE P/ FIXAÇÃO RÁPIDA DIN</t>
  </si>
  <si>
    <t>VOLTÍMETRO ( 144 X 144 )MM - ESC. 0 - 500V</t>
  </si>
  <si>
    <t>VOLTÍMETRO (72 X 72)MM - ESC. 0 - 500V</t>
  </si>
  <si>
    <t>VOLTÍMETRO (96 X 96)MM - ESC. 0 A 500V</t>
  </si>
  <si>
    <t>TRANSFORMADOR DE CORRENTE 15 KV</t>
  </si>
  <si>
    <t>TRANSFORMADOR DE POTÊNCIA 15 KV</t>
  </si>
  <si>
    <t>TRANSFORMADOR DE DISTRIBUIÇÃO A ÓLEO MINERAL, 300 KVA/13.800-380/220V</t>
  </si>
  <si>
    <t>TRANSFORMADOR DE DISTRIBUIÇÃO A ÓLEO MINERAL, 150 KVA/13.800-380/220V, USO EM</t>
  </si>
  <si>
    <t>TRANSFORMADOR DE DISTRIBUIÇÃO A ÓLEO MINERAL, 225 KVA/13.800-380/220V, USO EM</t>
  </si>
  <si>
    <t>BARRAMENTO DE COBRE NÚ 3/4"x 1/4"</t>
  </si>
  <si>
    <t>BARRAMENTO DE COBRE 3/8''</t>
  </si>
  <si>
    <t>QUADRO DE DISTRIBUICAO DE EMBUTIR C/ BARRAMENTO TRIFASICO P/ 24 DISJUNTORES UNIPOLARES EM CHAPA</t>
  </si>
  <si>
    <t>QUADRO DE DISTRIBUICAO DE EMBUTIR C/ BARRAMENTO TRIFASICO P/ 40 DISJUNTORES UNIPOLARES EM CHAPA</t>
  </si>
  <si>
    <t>CELULA FOTOELETRICA P/ LAMPADA 1000W, C/ SUPORTE</t>
  </si>
  <si>
    <t>MÓDULO DE EMERGÊNCIA PARA LUMINÁRIA COMUM - FORNECIMENTO E INSTALAÇÃO</t>
  </si>
  <si>
    <t>VALOR MENSAL DE MATERIAIS ELÉTRICOS</t>
  </si>
  <si>
    <t>VALOR ANUAL DE MATERIAIS ELÉTRICOS</t>
  </si>
  <si>
    <t>Valor Total/Mês Estimado</t>
  </si>
  <si>
    <t>TUBO PVC SOLDÁVEL DE 20MM (1/2')</t>
  </si>
  <si>
    <t>TUBO PVC SOLDÁVEL DE 25MM (3/4')</t>
  </si>
  <si>
    <t>TUBO PVC SOLDÁVEL DE 32MM (1')</t>
  </si>
  <si>
    <t>TUBO PVC SOLDÁVEL DE 40MM (1 1/4')</t>
  </si>
  <si>
    <t>TUBO PVC SOLDÁVEL DE 50MM (1 1/2')</t>
  </si>
  <si>
    <t>TUBO PVC RÍGIDO ROSCÁVEL DE 1/2'</t>
  </si>
  <si>
    <t>TUBO PVC RÍGIDO ROSCÁVEL DE 3/4'</t>
  </si>
  <si>
    <t>TUBO PVC RÍGIDO ROSCÁVEL DE 1'</t>
  </si>
  <si>
    <t>TUBO PVC RÍGIDO ROSCÁVEL DE 1 1/2'</t>
  </si>
  <si>
    <t>TUBO PVC RÍGIDO ROSCÁVEL DE 1 1/4'</t>
  </si>
  <si>
    <t>VÁLVULA RETENÇÃO. PÉ C/CRIVO - 32MM (1 1/14')</t>
  </si>
  <si>
    <t>VÁLVULA RETENÇÃO. PÉ C/CRIVO -65MM (2 1/2')</t>
  </si>
  <si>
    <t>VÁLVULA RETENÇÃO. PÉ C/CRIVO - 50MM (2')</t>
  </si>
  <si>
    <t>VÁLVULA RETENÇÃO HORIZONTAL - 32MM (1 1/4')</t>
  </si>
  <si>
    <t>VÁLVULA RETENÇÃO HORIZONTAL - 50MM (2')</t>
  </si>
  <si>
    <t>VÁLVULA RETENÇÃO HORIZONTAL - 40MM (1 1/2')</t>
  </si>
  <si>
    <t>VÁLVULA RETENÇÃO HORIZONTAL - 65MM (2 1/2')</t>
  </si>
  <si>
    <t>LUVA UNIÃO AÇO GALVANIZADO (F.G) (2 1/2")</t>
  </si>
  <si>
    <t>CURVA FERRO GALVANIZADO90G ROSCA FEMEA REF. 1 1/2"</t>
  </si>
  <si>
    <t>CURVA FERRO GALVANIZADO90G ROSCA FEMEA REF. 2"</t>
  </si>
  <si>
    <t>CURVA FERRO GALVANIZADO90G ROSCA FEMEA REF. 2 1/2"</t>
  </si>
  <si>
    <t>JOELHO FERRO GALV 90G ROSCA 1 1/2"</t>
  </si>
  <si>
    <t>JOELHO FERRO GALV 90G ROSCA 2"</t>
  </si>
  <si>
    <t>JOELHO FERRO GALV 90G ROSCA 2 1/2"</t>
  </si>
  <si>
    <t>JOELHO PVC SOLD 90G P/AGUA FRIA PREDIAL 20 MM</t>
  </si>
  <si>
    <t>JOELHO PVC SOLD 90G P/ AGUA FRIA PREDIAL 25 MM</t>
  </si>
  <si>
    <t>JOELHO PVC SOLD 90G P/AGUA FRIA PREDIAL 32 MM</t>
  </si>
  <si>
    <t>JOELHO PVC SOLD 90G P/AGUA FRIA PREDIAL 40 MM</t>
  </si>
  <si>
    <t>JOELHO PVC SOLD 90G P/AGUA FRIA PREDIAL 50 MM</t>
  </si>
  <si>
    <t>LUVA PVC SOLDAVEL DE 20MM</t>
  </si>
  <si>
    <t>LUVA PVC SOLDAVEL DE 25MM</t>
  </si>
  <si>
    <t>LUVA PVC SOLDAVEL DE 32MM</t>
  </si>
  <si>
    <t>LUVA PVC SOLDAVEL DE 40MM</t>
  </si>
  <si>
    <t>LUVA PVC SOLDAVEL DE 50MM</t>
  </si>
  <si>
    <t>LUVA PVC ROSCAVEL DE 1/2''</t>
  </si>
  <si>
    <t>LUVA PVC ROSCAVEL DE 3/4''</t>
  </si>
  <si>
    <t>LUVA PVC ROSCAVEL DE 1''</t>
  </si>
  <si>
    <t>LUVA PVC ROSCAVEL DE 1 1/4''</t>
  </si>
  <si>
    <t>LUVA PVC ROSCAVEL DE 1 1/2''</t>
  </si>
  <si>
    <t>LUVA PVC SOLDAVEL / ROSCA P/AGUA FRIA PREDIAL 20MM X 1/2"</t>
  </si>
  <si>
    <t>LUVA PVC SOLDAVEL / ROSCA P/AGUA FRIA PREDIAL 25MM X 3/4"</t>
  </si>
  <si>
    <t>LUVA PVC SOLDAVEL / ROSCA P/AGUA FRIA PREDIAL 32MM X 1"</t>
  </si>
  <si>
    <t>JOELHO PVC SOLDAVEL/ROSCA DE 20X1/2''</t>
  </si>
  <si>
    <t>JOELHO PVC SOLDAVEL/ROSCA DE 25X3/4''</t>
  </si>
  <si>
    <t>TE PVC ROSCAVEL DE 1/2'</t>
  </si>
  <si>
    <t>TE PVC ROSCAVEL DE 3/4'</t>
  </si>
  <si>
    <t>TE PVC ROSCAVEL DE 1'</t>
  </si>
  <si>
    <t>TE PVC ROSCAVEL DE 1 1/4'</t>
  </si>
  <si>
    <t>TE PVC ROSCAVEL DE 1 1/2'</t>
  </si>
  <si>
    <t>JOELHO PVC PARA ESGOTO DE 100MM</t>
  </si>
  <si>
    <t>JOELHO PVC PARA ESGOTO DE 75MM</t>
  </si>
  <si>
    <t>JOELHO PVC PARA ESGOTO DE 50MM</t>
  </si>
  <si>
    <t>JOELHO PVC PARA ESGOTO DE 40MM</t>
  </si>
  <si>
    <t>TE PVC RIGIDO. PARA ESGOTO - 100MM (4')</t>
  </si>
  <si>
    <t>TE PVC RIGIDO. PARA ESGOTO - 75MM (3')</t>
  </si>
  <si>
    <t>TE PVC RIGIDO. PARA ESGOTO - 50MM (2')</t>
  </si>
  <si>
    <t>TE PVC RIGIDO. PARA ESGOTO - 40MM (1 1/2')</t>
  </si>
  <si>
    <t>LUVA CORRER PVC SOLD P/AGUA FRIA PREDIAL 25 MM</t>
  </si>
  <si>
    <t>LUVA CORRER PVC SOLD P/AGUA FRIA PREDIAL 50 MM</t>
  </si>
  <si>
    <t>VALOR MENSAL DE MATERIAIS HIDRÁULICOS</t>
  </si>
  <si>
    <t>VALOR ANUAL DE MATERIAIS HIDRÁULICOS</t>
  </si>
  <si>
    <t>TINTA LATEX ACRILICA</t>
  </si>
  <si>
    <t>L</t>
  </si>
  <si>
    <t>TINTA LATEX PVA</t>
  </si>
  <si>
    <t>TEXTURA ACRÍLICA</t>
  </si>
  <si>
    <t>KG</t>
  </si>
  <si>
    <t>Concretina</t>
  </si>
  <si>
    <t>TINTA ACRILICA PARA PISO</t>
  </si>
  <si>
    <t>ESMALTE SINTETICO</t>
  </si>
  <si>
    <t>Esmalte antiferrugem</t>
  </si>
  <si>
    <t>TINTA ANTI-CORROSIVA</t>
  </si>
  <si>
    <t>SIKA TOP 107 CX</t>
  </si>
  <si>
    <t>SOLVENTE</t>
  </si>
  <si>
    <t>MASSA CORRIDA A BASE DE PVA</t>
  </si>
  <si>
    <t>MASSA ACRILICA</t>
  </si>
  <si>
    <t>CIMENTO PORTLAND</t>
  </si>
  <si>
    <t>GESSO</t>
  </si>
  <si>
    <t>M2</t>
  </si>
  <si>
    <t>FORRO DE GESSO CONVENCIONAL (60x60)cm SEM TIRO E ARAME GALVANIZADO ENCAPADO</t>
  </si>
  <si>
    <t>Peça de forro modulado de PVC Liso em peças de 1250x625mm</t>
  </si>
  <si>
    <t>Peça de forro modulado de Fibra Mineral micro Perfurada  em peças de 1250x625mm</t>
  </si>
  <si>
    <t>VALOR MENSAL DE MATERIAIS DE CONSTRUÇÃO CIVIL</t>
  </si>
  <si>
    <t>VALOR ANUAL DE MATERIAIS DE CONSTRUÇÃO CIVIL</t>
  </si>
  <si>
    <t xml:space="preserve">ANEXO IX F - QUADRO-RESUMO </t>
  </si>
  <si>
    <t>ITEM 1</t>
  </si>
  <si>
    <t>Posto de Trabalho (A)</t>
  </si>
  <si>
    <t>Valor mensal proposto por empregado (B)</t>
  </si>
  <si>
    <t>1.1</t>
  </si>
  <si>
    <t>1.3</t>
  </si>
  <si>
    <t>1.4</t>
  </si>
  <si>
    <t>1.5</t>
  </si>
  <si>
    <t>TOTAL ANUAL DO ITEM 1</t>
  </si>
  <si>
    <t>ITEM 2</t>
  </si>
  <si>
    <t>2.1</t>
  </si>
  <si>
    <t>2.2</t>
  </si>
  <si>
    <t>2.3</t>
  </si>
  <si>
    <t>2.4</t>
  </si>
  <si>
    <t>2.8</t>
  </si>
  <si>
    <t>2.9</t>
  </si>
  <si>
    <t>2.10</t>
  </si>
  <si>
    <t>Vara de Pacajus</t>
  </si>
  <si>
    <t>2.11</t>
  </si>
  <si>
    <t>2.12</t>
  </si>
  <si>
    <t>Vara de São Gonçalo do Amarante</t>
  </si>
  <si>
    <t>2.13</t>
  </si>
  <si>
    <t>Vara do Eusébio</t>
  </si>
  <si>
    <t>TOTAL ANUAL DO ITEM 2</t>
  </si>
  <si>
    <t>ITEM 3</t>
  </si>
  <si>
    <t>SERVIÇOS EVENTUAIS NO INTERIOR, SEM MÃO DE OBRA RESIDENTE</t>
  </si>
  <si>
    <t>Valor</t>
  </si>
  <si>
    <t>3.1</t>
  </si>
  <si>
    <t>3.2</t>
  </si>
  <si>
    <t>3.3</t>
  </si>
  <si>
    <t>3.4</t>
  </si>
  <si>
    <t>3.5</t>
  </si>
  <si>
    <t>3.6</t>
  </si>
  <si>
    <t>TOTAL ANUAL ESTIMADO DO ITEM 3</t>
  </si>
  <si>
    <t>ITEM 4</t>
  </si>
  <si>
    <t xml:space="preserve">MATERIAIS DE REPOSIÇÃO </t>
  </si>
  <si>
    <t>Custo estimado anual de material elétrico</t>
  </si>
  <si>
    <t>Custo estimado anual de material hidráulico</t>
  </si>
  <si>
    <t>Custo estimado anual de material de construção civil</t>
  </si>
  <si>
    <t>TOTAL ANUAL ESTIMADO DO ITEM 4</t>
  </si>
  <si>
    <t>TOTAL ANUAL GLOBAL (ITENS 1, 2, 3 e 4)</t>
  </si>
  <si>
    <t>Divania Maria Alcantara Soares</t>
  </si>
  <si>
    <t>ANEXO XI C - Planilha de Manutenção Preventiva e Corretiva no Interior</t>
  </si>
  <si>
    <t>CUSTO POR PROFISSIONAL (DIÁRIO)</t>
  </si>
  <si>
    <t>SERVIÇO</t>
  </si>
  <si>
    <t>UND</t>
  </si>
  <si>
    <t>Valor Unitário</t>
  </si>
  <si>
    <t>Vr. Unit. c/ BDI</t>
  </si>
  <si>
    <t>VALOR/DIA</t>
  </si>
  <si>
    <t>OFICIAL DE MANUTENÇÃO</t>
  </si>
  <si>
    <t>Hora</t>
  </si>
  <si>
    <t>Alimentação</t>
  </si>
  <si>
    <t>dia</t>
  </si>
  <si>
    <t>Hospedagem</t>
  </si>
  <si>
    <t>A)Subtotal Auxiliar de Manutenção</t>
  </si>
  <si>
    <t>ELETRICISTA</t>
  </si>
  <si>
    <t>B) Subtotal Eletricista</t>
  </si>
  <si>
    <t xml:space="preserve">Valores calculados com base nas tabelas SEINFRA/SINAPI com Encargos Sociais (125%) - eletricista (SEINFRA - I2312) </t>
  </si>
  <si>
    <t>Em virtude de não haver a categoria OFICIAL DE MANUTENÇÃO nas tabelas SEINFRA/SINAPI foram utilizados os valores referentes às categorias Pedreiro  (SEINFRA - I2391), Pintor (SEINFRA - I2395) etc.</t>
  </si>
  <si>
    <t>O valor da Alimentação foi estimado calculando duas refeições principais + lanche</t>
  </si>
  <si>
    <t>O valor da hospedagem considerou quarto simples para uma pessoa no interior.</t>
  </si>
  <si>
    <t xml:space="preserve">PLANILHA DE FORMAÇÃO DE CUSTOS DE MANUTENÇÃO PREVENTIVA E CORRETIVA NO INTERIOR POR QUADRIMESTRE </t>
  </si>
  <si>
    <t>Região</t>
  </si>
  <si>
    <t>Dist.  Fortaleza (km)</t>
  </si>
  <si>
    <t>Dist. Máxima por Rota (ida e volta km)</t>
  </si>
  <si>
    <t>Custo por Desloc. (Combustível) [C]</t>
  </si>
  <si>
    <t>Outros (especificar) [D]</t>
  </si>
  <si>
    <t>Custo por Desloc. c/ BDI [C+D]</t>
  </si>
  <si>
    <t>Custo Equipe Preventiva c/ BDI [A+B]x5</t>
  </si>
  <si>
    <t>Chaves de ponta fenda profissionais, isoladas para uso em eletricidade, cabos em polipropileno azul, fabricação nacional,  com bitola da haste de ¼ x 4", 6" e 10"</t>
  </si>
  <si>
    <t>Chaves de ponta philips profissionais, isoladas para uso em eletricidade, cabos em polipropileno azul, fabricação nacional, com bitola de da haste de ¼ x 4', 6' e 10';</t>
  </si>
  <si>
    <t xml:space="preserve">MANUTENÇÃO PREVENTIVA E CORRETIVA INTERIOR E REGIÃO METROPOLITANA POR TRIMESTRE </t>
  </si>
  <si>
    <t xml:space="preserve"> Norte</t>
  </si>
  <si>
    <t>Metro</t>
  </si>
  <si>
    <t>C) Norte (Sobral, Tianguá e Crateús)</t>
  </si>
  <si>
    <t xml:space="preserve"> Leste</t>
  </si>
  <si>
    <r>
      <rPr>
        <b/>
        <sz val="12"/>
        <rFont val="Arial Narrow"/>
        <family val="2"/>
      </rPr>
      <t>ITEM</t>
    </r>
  </si>
  <si>
    <r>
      <rPr>
        <b/>
        <sz val="12"/>
        <rFont val="Arial Narrow"/>
        <family val="2"/>
      </rPr>
      <t>DESCRIÇÃO</t>
    </r>
  </si>
  <si>
    <r>
      <rPr>
        <b/>
        <sz val="12"/>
        <rFont val="Arial Narrow"/>
        <family val="2"/>
      </rPr>
      <t>%</t>
    </r>
  </si>
  <si>
    <t>1.0</t>
  </si>
  <si>
    <r>
      <rPr>
        <b/>
        <sz val="12"/>
        <rFont val="Arial Narrow"/>
        <family val="2"/>
      </rPr>
      <t>Composição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do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B.D.I.</t>
    </r>
  </si>
  <si>
    <r>
      <rPr>
        <sz val="12"/>
        <rFont val="Arial Narrow"/>
        <family val="2"/>
      </rPr>
      <t>Administração</t>
    </r>
    <r>
      <rPr>
        <sz val="12"/>
        <rFont val="Times New Roman"/>
        <family val="1"/>
      </rPr>
      <t xml:space="preserve"> </t>
    </r>
    <r>
      <rPr>
        <sz val="12"/>
        <rFont val="Arial Narrow"/>
        <family val="2"/>
      </rPr>
      <t>Central</t>
    </r>
  </si>
  <si>
    <t>1.2</t>
  </si>
  <si>
    <t xml:space="preserve">Seguro + Garantia </t>
  </si>
  <si>
    <r>
      <rPr>
        <sz val="12"/>
        <rFont val="Arial Narrow"/>
        <family val="2"/>
      </rPr>
      <t>Risco</t>
    </r>
  </si>
  <si>
    <r>
      <rPr>
        <sz val="12"/>
        <rFont val="Arial Narrow"/>
        <family val="2"/>
      </rPr>
      <t>Despesa</t>
    </r>
    <r>
      <rPr>
        <sz val="12"/>
        <rFont val="Times New Roman"/>
        <family val="1"/>
      </rPr>
      <t xml:space="preserve"> </t>
    </r>
    <r>
      <rPr>
        <sz val="12"/>
        <rFont val="Arial Narrow"/>
        <family val="2"/>
      </rPr>
      <t>Financeira</t>
    </r>
  </si>
  <si>
    <r>
      <rPr>
        <sz val="12"/>
        <rFont val="Arial Narrow"/>
        <family val="2"/>
      </rPr>
      <t>Lucro</t>
    </r>
  </si>
  <si>
    <t>1.6</t>
  </si>
  <si>
    <r>
      <rPr>
        <sz val="12"/>
        <rFont val="Arial Narrow"/>
        <family val="2"/>
      </rPr>
      <t>PIS</t>
    </r>
  </si>
  <si>
    <t>1.7</t>
  </si>
  <si>
    <r>
      <rPr>
        <sz val="12"/>
        <rFont val="Arial Narrow"/>
        <family val="2"/>
      </rPr>
      <t>COFINS</t>
    </r>
  </si>
  <si>
    <t>1.8</t>
  </si>
  <si>
    <r>
      <rPr>
        <sz val="12"/>
        <rFont val="Arial Narrow"/>
        <family val="2"/>
      </rPr>
      <t>ISS</t>
    </r>
  </si>
  <si>
    <t>1.9</t>
  </si>
  <si>
    <r>
      <rPr>
        <sz val="12"/>
        <rFont val="Arial Narrow"/>
        <family val="2"/>
      </rPr>
      <t>Contribuição</t>
    </r>
    <r>
      <rPr>
        <sz val="12"/>
        <rFont val="Times New Roman"/>
        <family val="1"/>
      </rPr>
      <t xml:space="preserve"> </t>
    </r>
    <r>
      <rPr>
        <sz val="12"/>
        <rFont val="Arial Narrow"/>
        <family val="2"/>
      </rPr>
      <t>Previdenciária</t>
    </r>
    <r>
      <rPr>
        <sz val="12"/>
        <rFont val="Times New Roman"/>
        <family val="1"/>
      </rPr>
      <t xml:space="preserve"> </t>
    </r>
    <r>
      <rPr>
        <sz val="12"/>
        <rFont val="Arial Narrow"/>
        <family val="2"/>
      </rPr>
      <t>sobre</t>
    </r>
    <r>
      <rPr>
        <sz val="12"/>
        <rFont val="Times New Roman"/>
        <family val="1"/>
      </rPr>
      <t xml:space="preserve"> </t>
    </r>
    <r>
      <rPr>
        <sz val="12"/>
        <rFont val="Arial Narrow"/>
        <family val="2"/>
      </rPr>
      <t>Receita</t>
    </r>
    <r>
      <rPr>
        <sz val="12"/>
        <rFont val="Times New Roman"/>
        <family val="1"/>
      </rPr>
      <t xml:space="preserve"> </t>
    </r>
    <r>
      <rPr>
        <sz val="12"/>
        <rFont val="Arial Narrow"/>
        <family val="2"/>
      </rPr>
      <t>Bruta</t>
    </r>
    <r>
      <rPr>
        <sz val="12"/>
        <rFont val="Times New Roman"/>
        <family val="1"/>
      </rPr>
      <t xml:space="preserve"> </t>
    </r>
    <r>
      <rPr>
        <sz val="12"/>
        <rFont val="Arial Narrow"/>
        <family val="2"/>
      </rPr>
      <t>(CPRB)</t>
    </r>
  </si>
  <si>
    <t>2.0</t>
  </si>
  <si>
    <r>
      <rPr>
        <b/>
        <sz val="12"/>
        <rFont val="Arial Narrow"/>
        <family val="2"/>
      </rPr>
      <t>Percentual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Total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do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B.D.I.</t>
    </r>
  </si>
  <si>
    <r>
      <rPr>
        <b/>
        <sz val="12"/>
        <rFont val="Arial Narrow"/>
        <family val="2"/>
      </rPr>
      <t>COMPOSIÇÃODO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BDI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(ma)</t>
    </r>
  </si>
  <si>
    <t>Custos Indiretos</t>
  </si>
  <si>
    <t>FONTE</t>
  </si>
  <si>
    <t>CÓDIGO</t>
  </si>
  <si>
    <t>DESCRIÇÃO (SERVIÇOS PREVENTIVOS / PREDITIVOS / CORRETIVOS)</t>
  </si>
  <si>
    <t>UNID</t>
  </si>
  <si>
    <t>QUANT.</t>
  </si>
  <si>
    <t>P. UNIT. SEM BDI</t>
  </si>
  <si>
    <t>P. UNIT. COM BDI</t>
  </si>
  <si>
    <t>SUB-TOTAL</t>
  </si>
  <si>
    <t>SINAPI</t>
  </si>
  <si>
    <t>Engenheiro Eletricista com Encargos Complementares</t>
  </si>
  <si>
    <t xml:space="preserve">Anotação de Responsabilidade Técnica </t>
  </si>
  <si>
    <t>Eletrotécnico com Encargos Complementares</t>
  </si>
  <si>
    <t>TOTAL ANUAL  DO ITEM 1</t>
  </si>
  <si>
    <t>TOTAL MENSAL DO ITEM 1 (12 X)</t>
  </si>
  <si>
    <t>VALOR POR TRIMESTRE DA MANUTENÇÃO PREVENTIVA E CORRETIVA</t>
  </si>
  <si>
    <t>E1 - MATERIAL ELÉTRICO</t>
  </si>
  <si>
    <t>E2 - MATERIAL HIDRÁULICO</t>
  </si>
  <si>
    <t>E3- MATERIAL CONSTRUÇÃO CIVIL</t>
  </si>
  <si>
    <t>Engenheiro Civil Pleno com Encargos Complementares</t>
  </si>
  <si>
    <t>Encanador ou Bombeiro com Encargos Complementares</t>
  </si>
  <si>
    <t>OBSERVAÇÕES:</t>
  </si>
  <si>
    <r>
      <t xml:space="preserve">O valor do </t>
    </r>
    <r>
      <rPr>
        <b/>
        <sz val="9"/>
        <rFont val="Arial"/>
        <family val="2"/>
      </rPr>
      <t>BDI</t>
    </r>
    <r>
      <rPr>
        <sz val="9"/>
        <rFont val="Arial"/>
        <family val="2"/>
      </rPr>
      <t xml:space="preserve"> (Benefícios e Despesas Indiretas) adotado foi o mesmo preenchido na Planilha de Composição da Taxa do BDI anexa.</t>
    </r>
  </si>
  <si>
    <t>1.5.</t>
  </si>
  <si>
    <t>Técnico de Laboratório com Encargos Complementares</t>
  </si>
  <si>
    <t>TOTAL MENSAL DO ITEM 1(SOMATÓRIO DE 1.1 A 1.5)</t>
  </si>
  <si>
    <t xml:space="preserve">Custo anual estimado com supervisão técnica, emissão de relatórios,  Inspeção de SPDA, Termografia, análises laboratoriais e Serviços Especializados </t>
  </si>
  <si>
    <t>Fusível até 20A</t>
  </si>
  <si>
    <t>FUSIVEL DIAZED DII</t>
  </si>
  <si>
    <t>FUSIVEL DIAZED DIII</t>
  </si>
  <si>
    <t>DISJUNTOR TERMOMAGNETICO TRIPOLAR 250 A / 600 V, TIPO FXD</t>
  </si>
  <si>
    <t>DISJUNTOR TERMOMAGNETICO TRIPOLAR 3 X 350 A/ICC - 25 KA</t>
  </si>
  <si>
    <t>CABO EM PVC 1000V 120MM2</t>
  </si>
  <si>
    <t>CABO EM PVC 1000V 150MM2</t>
  </si>
  <si>
    <t>CABO EM PVC 1000V 240MM2</t>
  </si>
  <si>
    <t>FUSIVEL NH 00 - Até 160 A</t>
  </si>
  <si>
    <t>FUSIVEL NH 1 - Até 250A</t>
  </si>
  <si>
    <t>MASTRO SIMPLES GALVANIZADO DIAMETRO NOMINAL 2", COMPRIMENTO 3 M</t>
  </si>
  <si>
    <t>SINALIZADOR NOTURNO SIMPLES PARA PARA-RAIOS, SEM RELE FOTOELETRICO</t>
  </si>
  <si>
    <t>QUADRO DE DISTRIBUICAO DE EMBUTIR C/ BARRAMENTO TRIFASICO PARA 48 DISJUNTORES DIN, 100 A</t>
  </si>
  <si>
    <t>DISPOSITIVO DPS CLASSE II, 1 POLO, TENSAO MAXIMA DE 460 V, CORRENTE MAXIMA DE 45 kA</t>
  </si>
  <si>
    <t>ELETRODUTO PVC FLEXIVEL CORRUGADO, COR AMARELA, DE 25 MM</t>
  </si>
  <si>
    <t>REGISTRO GAVETA BRUTO EM LATAO FORJADO, BITOLA 4 "</t>
  </si>
  <si>
    <t>REGISTRO GAVETA BRUTO EM LATAO FORJADO, BITOLA 2 1/2 "</t>
  </si>
  <si>
    <t>REGISTRO GAVETA BRUTO EM LATAO FORJADO, BITOLA 2 "</t>
  </si>
  <si>
    <t>REGISTRO GAVETA BRUTO EM LATAO FORJADO, BITOLA 1 1/2 "</t>
  </si>
  <si>
    <t>REGISTRO GAVETA BRUTO EM LATAO FORJADO, BITOLA 1 "</t>
  </si>
  <si>
    <t>REGISTRO GAVETA BRUTO EM LATAO FORJADO, BITOLA 3/4 " (</t>
  </si>
  <si>
    <t>REGISTRO GAVETA COM ACABAMENTO E CANOPLA CROMADOS, SIMPLES, BITOLA 1 "</t>
  </si>
  <si>
    <t>REGISTRO GAVETA COM ACABAMENTO E CANOPLA CROMADOS, SIMPLES, BITOLA 3/4 " (</t>
  </si>
  <si>
    <t>ADAPTADOR PVC SOLDAVEL CURTO COM BOLSA E ROSCA, 32 MM X 1", PARA AGUA FRIA</t>
  </si>
  <si>
    <t>TUBO PVC SERIE NORMAL, DN 150 MM, PARA ESGOTO PREDIAL (NBR 5688)</t>
  </si>
  <si>
    <t>TUBO PVC SERIE NORMAL, DN 100 MM, PARA ESGOTO PREDIAL</t>
  </si>
  <si>
    <t>Réguas de alumínio 2,0m para reboco</t>
  </si>
  <si>
    <t>Tarracha de ½”, 3/4", 1", 1 1/4", 1 1/2", 2"  e 3”</t>
  </si>
  <si>
    <t>Técnico Edificações</t>
  </si>
  <si>
    <t>Auxiliar de Manutenção Predial (44 h/semana)</t>
  </si>
  <si>
    <t>Eletricista (44h/semana)</t>
  </si>
  <si>
    <t>Fusível até 35A</t>
  </si>
  <si>
    <t>ISOLADOR DE PORCELANA PARA SISTEMA 15 KV</t>
  </si>
  <si>
    <t>BASE PARA MASTRO DE PARA-RAIOS - DN = 2"</t>
  </si>
  <si>
    <t>CONTATOR TRIPOLAR DE POTENCIA 65A (500V) CATEGORIA AC-2 E AC-3</t>
  </si>
  <si>
    <t>QUADRO DE DISTRIBUICAO COM BARRAMENTO TRIFASICO, DE SOBREPOR, EM CHAPA DE ACO GALVANIZADO, PARA 18 DISJUNTORES DIN, 100 A</t>
  </si>
  <si>
    <t>RELE TERMICO BIMETAL PARA USO EM MOTORES TRIFASICOS, TENSAO 380 V, POTENCIA ATE 15 CV, CORRENTE NOMINAL MAXIMA 22 A</t>
  </si>
  <si>
    <t>Referência de Planilhas Oficiais</t>
  </si>
  <si>
    <t>OBS: As Taxas de Tributação devem ser alteradas para os valores efetivamente praticados pela Contratada, sujeito à comprovação, não podendo o valor global da proposta ser superior ao valor de referência</t>
  </si>
  <si>
    <t>OBS: As Taxas de Tributação devem ser alteradas para os valores efetivamente praticados pela Contratada, sujeito à comprovação, não podendo o valor global da proposta ser superior ao valor de referência.</t>
  </si>
  <si>
    <t>QUADRO DE DISTRIBUICAO DE EMBUTIR C/ BARRAMENTO TRIFASICO P/ 30 DISJUNTORES UNIPOLARES EM CHAPA - 100A</t>
  </si>
  <si>
    <t>TELHA FIBROCIMENTO ONDULADA 8MM 1,83 X 1,10M (SEM AMIANTO)</t>
  </si>
  <si>
    <t>2.5</t>
  </si>
  <si>
    <t>2.6</t>
  </si>
  <si>
    <t>3.7</t>
  </si>
  <si>
    <t>COORDENADOR DE SERVIÇOS TERCEIRIZADOS</t>
  </si>
  <si>
    <t>SUBTOTAL MENSAL POSTO DE TRABALHO (1.1 + 1.2 + 1.3)</t>
  </si>
  <si>
    <t xml:space="preserve">Qtde de postos (C) </t>
  </si>
  <si>
    <t>Valor mensal do serviço (D) = (B x C)</t>
  </si>
  <si>
    <t xml:space="preserve">FORTALEZA </t>
  </si>
  <si>
    <t xml:space="preserve"> SERVIÇO DE MANUTENÇÃO PREVENTIVA E CORRETIVA COM MÃO DE OBRA RESIDENTE</t>
  </si>
  <si>
    <t>Fórum de Caucaia</t>
  </si>
  <si>
    <t>Fórum de Maracanaú</t>
  </si>
  <si>
    <t>Vara de Aracati</t>
  </si>
  <si>
    <t>BOMBA CENTRIFUGA P=1CV</t>
  </si>
  <si>
    <t>I0253</t>
  </si>
  <si>
    <t>Fórum de Sobral (predial)</t>
  </si>
  <si>
    <t>Fórum de Sobral (Subestação)</t>
  </si>
  <si>
    <t>Fórum de Sobral  (Subestação)</t>
  </si>
  <si>
    <t>Fórum de Sobral  (Predial)</t>
  </si>
  <si>
    <t>Valor Mensal do Serviço de Manutenção Preventiva e Corretiva no Fórum do Cariri</t>
  </si>
  <si>
    <t>2.7</t>
  </si>
  <si>
    <r>
      <rPr>
        <b/>
        <sz val="12"/>
        <rFont val="Arial Narrow"/>
        <family val="2"/>
      </rPr>
      <t>COMPOSIÇÃODO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BDI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(serviço) - ISS 5%</t>
    </r>
  </si>
  <si>
    <r>
      <rPr>
        <b/>
        <sz val="12"/>
        <rFont val="Arial Narrow"/>
        <family val="2"/>
      </rPr>
      <t>COMPOSIÇÃODO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BDI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(serviço) - ISS 3%</t>
    </r>
  </si>
  <si>
    <r>
      <rPr>
        <b/>
        <sz val="12"/>
        <rFont val="Arial Narrow"/>
        <family val="2"/>
      </rPr>
      <t>COMPOSIÇÃODO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BDI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(serviço) - ISS 4%</t>
    </r>
  </si>
  <si>
    <t>Fortaleza, Iguatu, São Gonçalo do Amarante, Maracanaú, Limoeiro do Norte, Caucaia, Aracati, Quixadá.</t>
  </si>
  <si>
    <t>Crateus.</t>
  </si>
  <si>
    <r>
      <rPr>
        <b/>
        <sz val="12"/>
        <rFont val="Arial Narrow"/>
        <family val="2"/>
      </rPr>
      <t>COMPOSIÇÃODO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BDI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(serviço) - ISS 2%</t>
    </r>
  </si>
  <si>
    <t>Juazeiro do norte</t>
  </si>
  <si>
    <t>Juazeiro do Norte</t>
  </si>
  <si>
    <t>Localidade</t>
  </si>
  <si>
    <t>7.10 –                   LC 116/2003</t>
  </si>
  <si>
    <t>Fundamento legal</t>
  </si>
  <si>
    <t>Fortaleza</t>
  </si>
  <si>
    <t>Inciso III do art. 245 da Lei Complementar 159/2013 (Código Tributário de Fortaleza).</t>
  </si>
  <si>
    <t>Iguatu</t>
  </si>
  <si>
    <t>Lista da Tabela II da Lei Municipal 1.061/2005 (Código Tributário de Iguatu), conforme Art. 55.</t>
  </si>
  <si>
    <t>Art. 460 e 461 da Lei Complementar nº 93/2013 (Código Tributário de Juazeiro)</t>
  </si>
  <si>
    <t>Sobral</t>
  </si>
  <si>
    <t>Art. 50 e 59 e Tabela II da Lei Complementar nº 39/2013 (Código Tributário de Sobral)</t>
  </si>
  <si>
    <t>Tianguá</t>
  </si>
  <si>
    <t>Art.  43 e  53 e Anexo II da Lei Complementar nº 358/2003 (Código Tributário de Tianguá).  Art. 56 possibilita a dedução de materiais fornecidos pelo prestador, quando produzidos fora do local da prestação, até o limite de 40% do valor total dos serviços.</t>
  </si>
  <si>
    <t>São Gonçalo do Amarante</t>
  </si>
  <si>
    <t>Art.  86 e  102 e Anexo I da Lei Complementar nº 06/2013 (Código Tributário de São Gonçalo do Amarante)</t>
  </si>
  <si>
    <t>Pacajus</t>
  </si>
  <si>
    <t>Art.  36  e 55 e Tabelas IV e V da Lei Complementar nº 371/2014 (Código Tributário de Pacajus)</t>
  </si>
  <si>
    <t>Maracanaú</t>
  </si>
  <si>
    <t>Art.  40 e 55 e Tabelas IV e V da Lei Complementar nº 1808/2012 (Código Tributário de Maracanaú)</t>
  </si>
  <si>
    <t>Limoeiro do Norte</t>
  </si>
  <si>
    <t>Art.  46 e 60 e Anexo II  da Lei Complementar nº 1214/2005 (Código Tributário de Limoeiro do Norte), altera pela Lei nº  2024/2017.</t>
  </si>
  <si>
    <t>Eusébio</t>
  </si>
  <si>
    <t>Art.  86 e 101 da Lei Complementar nº 36/2017 (Código Tributário de Eusébio)</t>
  </si>
  <si>
    <t>Crateús</t>
  </si>
  <si>
    <t>Art.  21 e Anexo I da Lei Complementar nº 548/2003, alterado pela Lei nº 628/2017</t>
  </si>
  <si>
    <t>Caucaia</t>
  </si>
  <si>
    <t>Art.  77 e 90 da Lei Complementar nº 02/2009 (Código Tributário de Caucaia)</t>
  </si>
  <si>
    <t>Baturité</t>
  </si>
  <si>
    <t>Art.  50, 51 e 55 e Tabela II da Lei Complementar nº 1282/2005 (Código Tributário de Baturité)</t>
  </si>
  <si>
    <t>Aracati</t>
  </si>
  <si>
    <t>Art. 87 e 102 e Anexo I da Lei Complementar nº 05/2017 (Código Tributário de Aracati)</t>
  </si>
  <si>
    <t>Quixadá</t>
  </si>
  <si>
    <t>Art. 52 e 57 e Tabela  II da Lei Complementar nº 05/2017 (Código Tributário de Quixadá)</t>
  </si>
  <si>
    <t>Sobral, Tianguá, Pacajus, Baturité.</t>
  </si>
  <si>
    <t>Juazeiro do Norte, Eusébio.</t>
  </si>
  <si>
    <t>Centro</t>
  </si>
  <si>
    <t>Fórum de Iguatu</t>
  </si>
  <si>
    <t>A) Metropolitana (Maracanaú, Caucaia , Pacajús,  Eusébio e São Gonçalo do Amarante)</t>
  </si>
  <si>
    <t>D) Centro  SUL (Iguatu)</t>
  </si>
  <si>
    <t xml:space="preserve">Quixadá </t>
  </si>
  <si>
    <t xml:space="preserve">Tianguá </t>
  </si>
  <si>
    <t>Sobral  (Predial)</t>
  </si>
  <si>
    <t>Valor Estimado TOTAL</t>
  </si>
  <si>
    <t>VALOR ESTIMADO TOTAL</t>
  </si>
  <si>
    <t>Est. Diárias (ANO)</t>
  </si>
  <si>
    <t>Est. Desloc. (ANO)</t>
  </si>
  <si>
    <t>3.8</t>
  </si>
  <si>
    <t>3.9</t>
  </si>
  <si>
    <t>3.10</t>
  </si>
  <si>
    <t>3.11</t>
  </si>
  <si>
    <t>3.12</t>
  </si>
  <si>
    <t>3.13</t>
  </si>
  <si>
    <t>Centro Sul</t>
  </si>
  <si>
    <t>3.14</t>
  </si>
  <si>
    <t>I0212</t>
  </si>
  <si>
    <t>BATERIA ALCALINA 9V</t>
  </si>
  <si>
    <t>I0508</t>
  </si>
  <si>
    <t>CERA</t>
  </si>
  <si>
    <t>I7373</t>
  </si>
  <si>
    <t>DETERGENTE</t>
  </si>
  <si>
    <t>I8619</t>
  </si>
  <si>
    <t>FITA DUPLA FACE ACRÍLICA</t>
  </si>
  <si>
    <t>I8967</t>
  </si>
  <si>
    <t>PLACA ACRÍLICA TRANSPARENTE ESP.=5MM</t>
  </si>
  <si>
    <t>I2418</t>
  </si>
  <si>
    <t>SACO PLÁSTICO EM PROLIPROPILENO PARA 50kg</t>
  </si>
  <si>
    <t>I8631</t>
  </si>
  <si>
    <t>THINNER</t>
  </si>
  <si>
    <t>I1152</t>
  </si>
  <si>
    <t>FECHADURA CENTRAL COM 2 CILINDROS (1521)</t>
  </si>
  <si>
    <t>I1154</t>
  </si>
  <si>
    <t>FECHADURA COMPLETA PARA PORTA EXTERNA</t>
  </si>
  <si>
    <t>I1155</t>
  </si>
  <si>
    <t>FECHADURA COMPLETA PARA PORTA INTERNA</t>
  </si>
  <si>
    <t>I2331</t>
  </si>
  <si>
    <t>FECHADURA DE SOBREPOR</t>
  </si>
  <si>
    <t>I8433</t>
  </si>
  <si>
    <t>FECHADURA DE TARJETA (LIVRE-OCUPADA) PARA FIXAÇÃO EM GRANITO</t>
  </si>
  <si>
    <t>I1157</t>
  </si>
  <si>
    <t>FECHADURA P/ MOVEIS</t>
  </si>
  <si>
    <t>I8696</t>
  </si>
  <si>
    <t>FECHADURA TUBULAR 90MM EM AÇO CROMADO PARA PORTAS</t>
  </si>
  <si>
    <t>I7438</t>
  </si>
  <si>
    <t>ACESSÓRIOS DE BAIXA TENSÃO</t>
  </si>
  <si>
    <t>I0194</t>
  </si>
  <si>
    <t>BARRAMENTO PRINCIPAL P/ BAIXA TENSÃO</t>
  </si>
  <si>
    <t>I0195</t>
  </si>
  <si>
    <t>BARRAMENTO TERRA P/ BAIXA TENSÃO</t>
  </si>
  <si>
    <t>I1207</t>
  </si>
  <si>
    <t>I1751</t>
  </si>
  <si>
    <t>QUADRO DE FORÇA  (0,90 X 1,90 X 0,60)M</t>
  </si>
  <si>
    <t>I1752</t>
  </si>
  <si>
    <t>QUADRO DE FORÇA  (1,80 X 1,90 X 0,60)M</t>
  </si>
  <si>
    <t>I2413</t>
  </si>
  <si>
    <t>QUADRO DE MEDIÇÃO TRIFASICA EM POSTE</t>
  </si>
  <si>
    <t>I1851</t>
  </si>
  <si>
    <t>I1852</t>
  </si>
  <si>
    <t>I1853</t>
  </si>
  <si>
    <t>I0816</t>
  </si>
  <si>
    <t>COLA FORMICA</t>
  </si>
  <si>
    <t>I8273</t>
  </si>
  <si>
    <t>PORTA PARANÁ (0,80 x 2,10 m)</t>
  </si>
  <si>
    <t>I1714</t>
  </si>
  <si>
    <t>PORTA TIPO EUCATEX - PADRÃO</t>
  </si>
  <si>
    <t>I9614</t>
  </si>
  <si>
    <t>CHAVE COMUTADORA 3 POSIÇÕES FIXA 22MM</t>
  </si>
  <si>
    <t>I6497</t>
  </si>
  <si>
    <t>CERÂMICA ESMALTADA DIMENSÕES ATÉ 10x10cm (100 cm²) - DECORATIVA</t>
  </si>
  <si>
    <t>I6498</t>
  </si>
  <si>
    <t xml:space="preserve">CERÂMICA ESMALTADA RETIFICADA DIMENSÕES ATÉ 30x30cm (900 cm²) - PEI-5/PEI-4
</t>
  </si>
  <si>
    <t>I6500</t>
  </si>
  <si>
    <t xml:space="preserve">CERÂMICA ESMALTADA RETIFICADA DIMENSÕES MAIORES DE 30x30cm (900 cm²) - PEI-5/PEI-4
</t>
  </si>
  <si>
    <t>I2045</t>
  </si>
  <si>
    <t>TELHA CERÂMICA COLONIAL</t>
  </si>
  <si>
    <t>I1178</t>
  </si>
  <si>
    <t>FITA CREPE 16MM</t>
  </si>
  <si>
    <t>I1346</t>
  </si>
  <si>
    <t>LIXA PARA FERRO</t>
  </si>
  <si>
    <t>I1511</t>
  </si>
  <si>
    <t>I1513</t>
  </si>
  <si>
    <t>I2096</t>
  </si>
  <si>
    <t xml:space="preserve">M2    </t>
  </si>
  <si>
    <t xml:space="preserve">UN    </t>
  </si>
  <si>
    <t xml:space="preserve">L     </t>
  </si>
  <si>
    <t xml:space="preserve">M     </t>
  </si>
  <si>
    <t xml:space="preserve">KG    </t>
  </si>
  <si>
    <t>BACIA SANITARIA (VASO) COM CAIXA ACOPLADA, DE LOUCA BRANCA</t>
  </si>
  <si>
    <t>KIT DE PROTECAO ARSTOP PARA AR CONDICIONADO, TOMADA PADRAO 2P+T 20 A, COM DISJUNTOR UNIPOLAR DIN 20A</t>
  </si>
  <si>
    <t>Quadro completo com Disjuntores, isoladores, proteção em acrílico, trilhos, barramentos e Porta</t>
  </si>
  <si>
    <t>QUADRO DE DISTRIBUICAO DE SOBREPOR C/ BARRAMENTO TRIFASICO P/ 28 DISJUNTORES UNIPOLARES, EM CHAPA DE ACO GALV</t>
  </si>
  <si>
    <t>REJUNTE CIMENTICIO, Qualquer Cor</t>
  </si>
  <si>
    <t>2.14</t>
  </si>
  <si>
    <t>COD</t>
  </si>
  <si>
    <t>VU</t>
  </si>
  <si>
    <t>Qtd. Estimada Mensal</t>
  </si>
  <si>
    <t>Valor TOTAL Mês</t>
  </si>
  <si>
    <t>VALOR TOTAL</t>
  </si>
  <si>
    <t>VALOR MENSAL POR POSTO</t>
  </si>
  <si>
    <t>QUANTIDADE DE POSTOS</t>
  </si>
  <si>
    <t>7) Somente deverão ser alteradas as células em amarelo</t>
  </si>
  <si>
    <t xml:space="preserve">Os itens 1.1 e 1.3 contemplam a atuação de profissionais de nível superior na supervisão técnica dos serviços contratados, emissão de relatórios e responsabilidade técnica </t>
  </si>
  <si>
    <t>Os itens 1.2 e 1.4 contemplam a atuação de profissionais especializados em serviços em Subestação, Redes Hidráulicas, Sistemas de Combate à Incêndio  e demais itens necessários ao cumprimento das obrigações contratuais</t>
  </si>
  <si>
    <t>SOFTSTART Até 40CV / 380V</t>
  </si>
  <si>
    <t>Acrílico para Quadros Elétricos</t>
  </si>
  <si>
    <t>m2</t>
  </si>
  <si>
    <t>un</t>
  </si>
  <si>
    <t>m3</t>
  </si>
  <si>
    <t>m4</t>
  </si>
  <si>
    <t>Controlador Automático de Fator de Potência -  06 Saídas</t>
  </si>
  <si>
    <t>Rádio Comunicador DIGITAL REF: DEP 450</t>
  </si>
  <si>
    <t>Ano do Acordo, Convenção ou Dissídio Coletivo</t>
  </si>
  <si>
    <t>DADOS PARA A COMPOSIÇÃO DOS CUSTOS</t>
  </si>
  <si>
    <t>Classificação Brasileira de Ocupações</t>
  </si>
  <si>
    <t>1º/01/2021</t>
  </si>
  <si>
    <t>Salário-base</t>
  </si>
  <si>
    <t>(Salário base x percentual de periculosidade da categoria)</t>
  </si>
  <si>
    <t>Total de Remuneração por posto</t>
  </si>
  <si>
    <t>MÓDULO 2 - ENCARGOS E BENEFÍCIOS ANUAIS,  MENSAIS E DIÁRIOS</t>
  </si>
  <si>
    <t>Submódulo 2.1 - Décimo terceiro salário, Férias e Adicional de Férias</t>
  </si>
  <si>
    <t>13º Salário, Férias e Adicional de Férias</t>
  </si>
  <si>
    <t>Férias e Adicional de Férias</t>
  </si>
  <si>
    <t>(Total da remuneração x 12,10%)</t>
  </si>
  <si>
    <t xml:space="preserve">TOTAL DO SUBMODULO 2.1 </t>
  </si>
  <si>
    <t>Submódulo 2.2 - Encargos previdenciários (GPS), FGTS e outras contribuições</t>
  </si>
  <si>
    <t>TOTAL  DO SUBMODULO 2.2</t>
  </si>
  <si>
    <t>(Somatório do módulo 1 com submódulo 2.1) x percentual do submódulo 2.2</t>
  </si>
  <si>
    <t>Submódulo 2.3 - Benefícios mensais e diários</t>
  </si>
  <si>
    <t>TOTAL  DO SUBMODULO 2.3</t>
  </si>
  <si>
    <t>QUADRO RESUMO DO MÓDULO 2 - ENCARGOS E BENEFÍCIOS ANUAIS,  MENSAIS E DIÁRIOS</t>
  </si>
  <si>
    <t>Encargos previdenciários (GPS), FGTS e outras contribuições</t>
  </si>
  <si>
    <t>(Incidência sobre o Módulo 1 e Submódulo 2.1)</t>
  </si>
  <si>
    <t>Benefícios mensais e diários</t>
  </si>
  <si>
    <t>TOTAL DO MÓDULO 2</t>
  </si>
  <si>
    <t>MÓDULO 3 - PROVISÃO PARA RESCISÃO</t>
  </si>
  <si>
    <t>NOTA: A taxa de rotatividade das dispensas sem justa causa deverão ser apuradas com uso de dados referenciais levantados no histórico de contratos. Para a construção, utilizamos 5%</t>
  </si>
  <si>
    <t>(Aviso prévio indenizado x Porcentagem de recolhimento mensal do FGTS)</t>
  </si>
  <si>
    <t>Multa do FGTS sobre o aviso prévio indenizado</t>
  </si>
  <si>
    <t>NOTA: Considerando que a multa do FGTS incide uma única vez sobre a totalidade dos meses do contrato, zeramos esta rubrica e aportamos o custo na sua totalidade na alínea "f" deste mesmo módulo.</t>
  </si>
  <si>
    <t xml:space="preserve">{[(Total da remuneração ÷ dias do mês) ÷ meses do ano] x 7 dias de redução da jornada x porcentagem de dispensa sem justa causa com aviso prévio trabalhado} </t>
  </si>
  <si>
    <t>Incidência dos encargos do submódulo 2.2 sobre aviso prévio trabalhado</t>
  </si>
  <si>
    <t>Multa do FGTS sobre o aviso prévio trabalhado</t>
  </si>
  <si>
    <t xml:space="preserve">{[(Total da remuneração + 13º salário + Férias e terço constitucional de férias)x Multa sobre o FGTS] x Alíquota de recolhimento mensal do FGTS x Porcentagem de dispensa sem justa causa com aviso prévio trabalhado} </t>
  </si>
  <si>
    <t>TOTAL  DO MÓDULO 3</t>
  </si>
  <si>
    <t>MÓDULO 4 - CUSTO DE REPOSIÇÃO DO PROFISSIONAL AUSENTE</t>
  </si>
  <si>
    <t>Submódulo 4.1 - Ausências Legais</t>
  </si>
  <si>
    <t xml:space="preserve">Substituto na cobertura de férias </t>
  </si>
  <si>
    <t>(Somatório dos módulos 1, 2 e 3) x  12,10% (Adicional de férias) dividido por 12 (doze) meses.</t>
  </si>
  <si>
    <t>Substituto na cobertura de ausências legais</t>
  </si>
  <si>
    <t>{[(Total da remuneração ÷ mês) ÷ meses do ano] x média de ausências por ano}</t>
  </si>
  <si>
    <t>NOTA: As ausências legais (faltas justificadas por lei) deverão ser apuradas com uso de dados referenciais levantados no histórico de contratos. Para a construção, utilizamos 1 dia.</t>
  </si>
  <si>
    <t>Substituto na cobertura de licença paternidade</t>
  </si>
  <si>
    <t>{[(Total da remuneração ÷ Mês) ÷ Meses do ano] x dias de licença por ano x porcentagem de incidência de ocorrência da licença paternidade}</t>
  </si>
  <si>
    <t>NOTA: A licença paternidade deverá ser apurada com uso de dados referenciais levantados no histórico de contratos. Para a construção, utilizamos 1,5%)</t>
  </si>
  <si>
    <t>Substituto na cobertura de ausência por acidente de trabalho</t>
  </si>
  <si>
    <t>{[(Total da remuneração ÷ Mês) ÷ Meses do ano] x média de dias pagos pela empresa x Porcentagem da Incidência de ocorrência de  acidentes do trabalho}</t>
  </si>
  <si>
    <t>NOTA: A ocorrência das ausências por acidente de trabalho deverá ser apurada com uso de dados referenciais levantados no histórico de contratos. Para a construção, utilizamos 15 dias pagos pela empresa e 6% de incidência de ocorrência.</t>
  </si>
  <si>
    <t>Substituto na cobertura de outras ausências (Especificar)</t>
  </si>
  <si>
    <t>Incidência dos encargos do submódulo 2.2 sobre as ausências legais</t>
  </si>
  <si>
    <t>TOTAL  DO SUBMÓDULO 4.1</t>
  </si>
  <si>
    <t>Submódulo 4.1.1 - Afastamento maternidade (120 dias)</t>
  </si>
  <si>
    <t>Férias acrescidas de 1/3 pagas ao substituto pelos 120 dias de reposição</t>
  </si>
  <si>
    <t>{[(Total da remuneração + Terço constitucional) x (Meses de afastamento por licença-maternidade ÷ Meses do ano) ÷ Meses do ano] x Incidência de ocorrência}</t>
  </si>
  <si>
    <t>NOTA: A ocorrência do afastamento maternidade deverá ser apurada com uso de dados referenciais levantados no histórico de contratos. Para a construção, utilizamos 2% de incidência de ocorrência.</t>
  </si>
  <si>
    <t>Incidência dos encargos do submódulo 2.2 sobre as férias acrescidas de 1/3 pagas ao substituto pelos 120 dias de reposição</t>
  </si>
  <si>
    <t>Férias acrescidas de 1/3 pagas ao substituto pelos 120 dias de reposição x incidência do submódulo 2.2</t>
  </si>
  <si>
    <t>Incidência do FGTS sobre a Remuneração e 13º salário proporcionais aos 120 dias de reposição</t>
  </si>
  <si>
    <t>{[(Total da remuneração + 13º salário) x (Meses de afastamento por licença-maternidade ÷ Meses do ano) x Incidência de ocorrência da licença maternidade x Incidência do FGTS</t>
  </si>
  <si>
    <t>TOTAL  DO SUBMÓDULO 4.1.1</t>
  </si>
  <si>
    <t>QUADRO RESUMO DO MÓDULO 4 - CUSTO DE REPOSIÇÃO DO PROFISSIONAL AUSENTE</t>
  </si>
  <si>
    <t>4.1.1</t>
  </si>
  <si>
    <t>TOTAL DO MÓDULO 4</t>
  </si>
  <si>
    <t>MÓDULO 5 - INSUMOS DIVERSOS</t>
  </si>
  <si>
    <t>TOTAL DO MÓDULO 5</t>
  </si>
  <si>
    <t>MÓDULO 6 - CUSTOS INDIRETOS, TRIBUTOS E LUCRO</t>
  </si>
  <si>
    <t>(Módulo 1 + Módulo 2 + Módulo 3 + Módulo 4 + Módulo 5 + Custos Indiretos) * Percentual de lucro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</si>
  <si>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</si>
  <si>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</si>
  <si>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</si>
  <si>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</si>
  <si>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(A+B+C+D+E)</t>
  </si>
  <si>
    <t>Módulo 6 - Custos indiretos, tributos e lucro</t>
  </si>
  <si>
    <t>Valor ANUAL da proposta POR POSTO (valor mensal do serviço x meses do contrato)</t>
  </si>
  <si>
    <t>Incidência do Submódulo 2.2 sobre o pagamento de férias, 1/3 (um terço) constitucional de férias e 13º (décimo terceiro) salário</t>
  </si>
  <si>
    <t>Seção de Apoio às Contratações</t>
  </si>
  <si>
    <t>FORTALEZA</t>
  </si>
  <si>
    <t xml:space="preserve"> PROAD Nº 3596/2021</t>
  </si>
  <si>
    <t>{[(Valor do auxílio creche x quantidade de meses do ano) ÷ Meses do ano] x percentual de incidência}</t>
  </si>
  <si>
    <t>Materiais de consumo</t>
  </si>
  <si>
    <t>9511-05</t>
  </si>
  <si>
    <t>5143-10</t>
  </si>
  <si>
    <t>3121-05</t>
  </si>
  <si>
    <t>COMPRASNET</t>
  </si>
  <si>
    <t>SINAPI / 10527</t>
  </si>
  <si>
    <t>Mx Mês</t>
  </si>
  <si>
    <t>Caixão plástico para argamassa (masseira) 20 Litros</t>
  </si>
  <si>
    <t xml:space="preserve">Chibanca 90 cm </t>
  </si>
  <si>
    <t>Cortador de Pisos e Azulejos até 90 cm</t>
  </si>
  <si>
    <t>Talhadeira de aço 8 a 10"</t>
  </si>
  <si>
    <r>
      <t>*2</t>
    </r>
    <r>
      <rPr>
        <b/>
        <sz val="12"/>
        <color indexed="8"/>
        <rFont val="Arial Narrow"/>
        <family val="2"/>
      </rPr>
      <t xml:space="preserve"> OBS2: Caso a Licitante não seja optante da Desoneração da Folha, o valor da CPRB deverá ser igual a 0% e o valor de INSS deverá ser preenchido no submodolo 2.2 A na planilha de formação de cada posto de trabalho, não podendo o valor global da proposta ser superior ao valor de referência.</t>
    </r>
  </si>
  <si>
    <t>Todas as Cores, Primeira Linha, Alto Rendimento</t>
  </si>
  <si>
    <t>SINAPI / 38470</t>
  </si>
  <si>
    <t>Contactor especifico p/ capacitores, Trifásico, 30,0 kVAr - 380V - 60 Hz</t>
  </si>
  <si>
    <t>Contactor especifico p/ capacitores, Trifásico,  20,0 kVAr - 380V - 60 Hz</t>
  </si>
  <si>
    <t>Contactor especifico p/ capacitores, Trifásico,  17,5 kVAr - 380V - 60 Hz</t>
  </si>
  <si>
    <t>Escada telescópica dupla 16 degraus 5 mts de alumínio</t>
  </si>
  <si>
    <t>SINAPI /  38465</t>
  </si>
  <si>
    <t>Contactor especifico p/ capacitores, Trifásico,  até 10,0 kVAr - 380V - 60 Hz</t>
  </si>
  <si>
    <t>Contactor especifico p/ capacitores, Trifásico,  10,0 KVAr  a 15,0 kVAr - 380V - 60 Hz</t>
  </si>
  <si>
    <t>Mercado</t>
  </si>
  <si>
    <t>Valor Unitario</t>
  </si>
  <si>
    <t>Valor Total</t>
  </si>
  <si>
    <r>
      <t xml:space="preserve">O item 1.7 contempla o Atendimento Emergencial conforme </t>
    </r>
    <r>
      <rPr>
        <b/>
        <sz val="9"/>
        <color indexed="8"/>
        <rFont val="Arial"/>
        <family val="2"/>
      </rPr>
      <t>item 3.4.8</t>
    </r>
    <r>
      <rPr>
        <sz val="9"/>
        <color indexed="8"/>
        <rFont val="Arial"/>
        <family val="2"/>
      </rPr>
      <t xml:space="preserve"> do Termo de Referência</t>
    </r>
  </si>
  <si>
    <r>
      <t xml:space="preserve">O Item 1.8 contempla a Emissão de ART contratual e da Manutenção de Subestações TRT, FAN conforme </t>
    </r>
    <r>
      <rPr>
        <b/>
        <sz val="9"/>
        <color indexed="8"/>
        <rFont val="Arial"/>
        <family val="2"/>
      </rPr>
      <t>item 9.8</t>
    </r>
  </si>
  <si>
    <t>(Módulo 1 + Módulo 2 + Módulo 3 + Módulo 4 + Módulo 5) * Percentual de custos indiretos (apurado na planilha A2 - BDI)</t>
  </si>
  <si>
    <t xml:space="preserve">(Módulo 1 + Módulo 2 + Módulo 3 + Módulo 4 + Módulo 5) * Percentual de custos indiretos (apurado na planilha A2 - BDI) </t>
  </si>
  <si>
    <t>VALOR</t>
  </si>
  <si>
    <r>
      <t xml:space="preserve">(Módulo 1 + Módulo 2 + Módulo 3 + Módulo 4 + Módulo 5) * </t>
    </r>
    <r>
      <rPr>
        <b/>
        <sz val="11"/>
        <color indexed="10"/>
        <rFont val="Calibri"/>
        <family val="2"/>
      </rPr>
      <t>Percentual de custos indiretos (apurado na planilha A2 - BDI)</t>
    </r>
  </si>
  <si>
    <t xml:space="preserve">ABRACADEIRA DE NYLON PARA AMARRACAO DE CABOS, COMPRIMENTO DE 390 X *4,6*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</si>
  <si>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ADESIVO PLASTICO PARA PVC, BISNAGA COM 75 GR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</si>
  <si>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AREIA MEDIA - POSTO JAZIDA/FORNECEDOR (RETIRADO NA JAZIDA, SEM TRANSPORTE)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</si>
  <si>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BUCHA DE NYLON SEM ABA S6, COM PARAFUSO DE 4,20 X 40 MM EM ACO ZINCADO COM ROSCA SOBERBA, CABECA CHATA E FENDA PHILLIPS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</si>
  <si>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FITA ISOLANTE ADESIVA ANTICHAMA, USO ATE 750 V, EM ROLO DE 19 MM X 5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</si>
  <si>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FITA ISOLANTE DE BORRACHA AUTOFUSAO, USO ATE 69 KV (ALTA TENSAO)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</si>
  <si>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FITA VEDA ROSCA EM ROLOS DE 18 MM X 25 M (L X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</si>
  <si>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GRAXA LUBRIFICANTE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</si>
  <si>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LIXA EM FOLHA PARA PAREDE OU MADEIRA, NUMERO 120 (COR VERMELHA)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</si>
  <si>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MASSA PLASTICA PARA MARMORE/GRANITO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</si>
  <si>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PARAFUSO FRANCES ZINCADO, DIAMETRO 1/2'', COMPRIMENTO 2'', COM PORCA E ARRUELA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</si>
  <si>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PASTA LUBRIFICANTE PARA TUBOS E CONEXOES COM JUNTA ELASTICA, EMBALAGEM DE *400* GR (USO EM PVC, ACO, POLIETILENO E OUTROS)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</si>
  <si>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PEDRA BRITADA N. 1 (9,5 a 19 MM) POSTO PEDREIRA/FORNECEDOR, SEM FRETE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</si>
  <si>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PINCEL CHATO (TRINCHA) CERDAS GRIS 1.1/2 " (38 MM)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</si>
  <si>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PREGO DE ACO POLIDO COM CABECA 10 X 10 (7/8 X 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</si>
  <si>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REBITE DE ALUMINIO VAZADO DE REPUXO, 3,2 X 8 MM (1KG = 1025 UNIDADES)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</si>
  <si>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ROLO DE ESPUMA POLIESTER 23 CM (SEM CABO)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</si>
  <si>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ROLO DE LA DE CARNEIRO 23 CM (SEM CABO)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</si>
  <si>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SILICONE ACETICO USO GERAL INCOLOR 280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</si>
  <si>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SOLVENTE DILUENTE A BASE DE AGUARRAS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</si>
  <si>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SEINFRA Ref: 27 - Não Desonerada</t>
  </si>
  <si>
    <t>VALOR POR TRIMESTRE</t>
  </si>
  <si>
    <t>TOTAL POR TRIMESTRE DO ITEM 2( SOMATÓRIO DE 2.1 A 2.14)</t>
  </si>
  <si>
    <t xml:space="preserve">6) O pagamento da parcela referente a Subestação de Sobral deverá ser faturado separadamente do valor da Manutenção Predial em virtude da diferença de vigência das contratações </t>
  </si>
  <si>
    <t>Disjuntor de MT 
Local: Ed. Dom Helder
Ed. Manoel Arísio</t>
  </si>
  <si>
    <t>Disjuntor a pequeno volume de óleo NB1 95kN / 1N 400A / Tensão nominal 17kV
Local: TRT</t>
  </si>
  <si>
    <t>Isoladores Epoxi para Quadro de Baixa Tensão</t>
  </si>
  <si>
    <t>Padrão ENEL CE</t>
  </si>
  <si>
    <t>O Item 1.5 contempla os ensaios em transformadores, disjuntores, EPIS, Mangueiras de incêndio e demais itens necessários ao cumprimento das obrigações contratuais</t>
  </si>
  <si>
    <t>Auxiliar de manutenção II</t>
  </si>
  <si>
    <t>ORSE - Novembro/2021 - http://orse.cehop.se.gov.br/insumos.asp</t>
  </si>
  <si>
    <t>FITA DE INOX P/ FIXAÇÃO DO ELETRODUTO NO POSTE</t>
  </si>
  <si>
    <t>I6422</t>
  </si>
  <si>
    <t>m</t>
  </si>
  <si>
    <t>DETETOR IÔNICO DE FUMAÇA, MONTAGEM DE TETO, C/ BASE ALIMENTAÇÃO 220VAC, UMA SAÍDA DIGITAL</t>
  </si>
  <si>
    <t>I7451</t>
  </si>
  <si>
    <t>SINAPI Ref: CE 01/2022 -Não  Desonerada</t>
  </si>
  <si>
    <t>Valor SEM BDI</t>
  </si>
  <si>
    <t>Valor total COM BDI</t>
  </si>
  <si>
    <t>2) Para o custo trimestral das Manutenções Preventivas nas Varas do Interior foram consideradas até 5 (cinco) dias de cada profissional (Eletricista e Auxiliar de Manutenção)  acrescido do valor do deslocamento por região (rota).</t>
  </si>
  <si>
    <t xml:space="preserve">C - Planilha de Manutenção  Preventiva e Corretiva no Interior do Estado (Eletricista e Auxiliar)  - Os preços de referência foram obtidos através de composição própria e podem ser alterados, porém valores muito divergentes deverão ser justificados e estarão sujeito a comprovação; Estas planilhas correspondem ao valor dos serviços de manutenção preventiva e corretiva realizados no interior do Estado  a serem pagos trimestralmente; </t>
  </si>
  <si>
    <t>OBS1: Os serviços eventuais serão conforme Item 3.5 do Termo de Referência</t>
  </si>
  <si>
    <t>OBS 2 : Não foi considerado hospedagem para serviços eventuais em cidades localizadas próximas às regiões Base (Fortaleza e Juazeiro do Norte)</t>
  </si>
  <si>
    <t>Tabela Resumo de Custo - Serviços Eventuais (Deslocamento + Mão de Obra)</t>
  </si>
  <si>
    <t>Valor Diária - Eletricista COM  BDI</t>
  </si>
  <si>
    <t>Valor Diária - Auxiliar de Manutenção COM BDI</t>
  </si>
  <si>
    <t>Valor - Deslocamento COM BDI</t>
  </si>
  <si>
    <t>Diária do Profissional Eletricista</t>
  </si>
  <si>
    <t>Diária do Profissional Auxiliar de Manutenção</t>
  </si>
  <si>
    <t xml:space="preserve">Diária do Profissional Eletricista </t>
  </si>
  <si>
    <t>DIARIA COM HOSPEDAGEM - Interior</t>
  </si>
  <si>
    <t>DIARIA SEM HOSPEDAGEM - Metropolitana, Juazeiro</t>
  </si>
  <si>
    <t xml:space="preserve">4) Na composição dos custos dos serviços na região metropolitana e Juazeiro não considerou-se a despesa com hospedagens dos profissionais. </t>
  </si>
  <si>
    <r>
      <t xml:space="preserve">Os valores unitários de insumos relativos a mão de obra incluem os Encargos Sociais 112,76%, cujos valores também são demonstrados Sistema Nacional de Preços da Caixa Econômica  Federal (SINAPI) de </t>
    </r>
    <r>
      <rPr>
        <b/>
        <sz val="9"/>
        <rFont val="Arial"/>
        <family val="2"/>
      </rPr>
      <t>Janeiro / 2022</t>
    </r>
    <r>
      <rPr>
        <sz val="9"/>
        <rFont val="Arial"/>
        <family val="2"/>
      </rPr>
      <t xml:space="preserve"> - Preços Não Desonerados.</t>
    </r>
  </si>
  <si>
    <r>
      <t xml:space="preserve">Conforme a Resolução 114/2010 do CNJ, foi usada como fonte primária de preços unitários o Sistema Nacional de Preços da Caixa Econômica Federal (SINAPI) de </t>
    </r>
    <r>
      <rPr>
        <b/>
        <sz val="9"/>
        <rFont val="Arial"/>
        <family val="2"/>
      </rPr>
      <t xml:space="preserve">Janeiro/2022. </t>
    </r>
    <r>
      <rPr>
        <sz val="9"/>
        <rFont val="Arial"/>
        <family val="2"/>
      </rPr>
      <t xml:space="preserve">Preços Não Desonerados e a Tabela da Secretaria de Infraestrutura do Estado do Ceará - </t>
    </r>
    <r>
      <rPr>
        <b/>
        <sz val="9"/>
        <rFont val="Arial"/>
        <family val="2"/>
      </rPr>
      <t>SEINFRA/CE Versão 27</t>
    </r>
  </si>
  <si>
    <t>1º/01/2022</t>
  </si>
  <si>
    <t>Auxílio funeral</t>
  </si>
  <si>
    <t>Em 22.03.2022</t>
  </si>
  <si>
    <t>Para esclarecimento de Dúvidas ligar para a Divisão de Manutenção e Projetos (85) 3388 9336 / André  ou 3388 9394 - Divânia</t>
  </si>
  <si>
    <t>ANEXO IX - PLANILHA B1 - Planilha estimativa de Custos e Formação de Preços - ELETRICISTA</t>
  </si>
  <si>
    <t>ANEXO IX - PLANILHA B2 - Planilha estimativa de Custos e Formação de Preços - AUXILIAR DE MANUTENÇÃO</t>
  </si>
  <si>
    <t>ANEXO IX - PLANILHA B3 - Planilha estimativa de Custos e Formação de Preços - TÉCNICO EM EDIFICAÇÕES</t>
  </si>
  <si>
    <t>ANEXO IX - PLANILHA F0 - COMPOSIÇÃO DE SUPERVISÃO TÉCNICA E SERVIÇOS ESPECIALIZADOS</t>
  </si>
  <si>
    <t>F0 - Planilha de composição de supervisão técnica e serviços especializados</t>
  </si>
  <si>
    <t>F - A Planilha Resumo formará o valor total da proposta e será preenchida automaticamente com base nas planilhas anteriores, com exceção dos valores referentes a REPAROS (Item 1.5) e FÓRUM DO CARIRI (Item 1.6), que deverão ser preenchidos manualmente.</t>
  </si>
  <si>
    <r>
      <t xml:space="preserve">MATERIAIS DE CONSUMO </t>
    </r>
    <r>
      <rPr>
        <b/>
        <sz val="10"/>
        <color indexed="10"/>
        <rFont val="Arial"/>
        <family val="2"/>
      </rPr>
      <t>(Módulo 5 das planilhas B)</t>
    </r>
  </si>
  <si>
    <r>
      <t xml:space="preserve">FERRAMENTAS/EQUIPAMENTOS </t>
    </r>
    <r>
      <rPr>
        <b/>
        <sz val="10"/>
        <color indexed="10"/>
        <rFont val="Arial"/>
        <family val="2"/>
      </rPr>
      <t>(Módulo 5 das planilhas B)</t>
    </r>
  </si>
  <si>
    <r>
      <rPr>
        <b/>
        <sz val="12"/>
        <rFont val="Arial Narrow"/>
        <family val="2"/>
      </rPr>
      <t>ANEXO</t>
    </r>
    <r>
      <rPr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IX</t>
    </r>
  </si>
  <si>
    <t>A1 -  Planilha de Ferramentas e Materiais de Consumo - Os preços de referência foram obtidos através do sistema COMPRASNET, SINAPI e SEINFRA e podem ser alterados, porém valores muito divergentes deverão ser justificados e estarão sujeito a comprovação; Estes valores serão automaticamente inseridos no módulo 5 das planilhas B1, B2 e B3.</t>
  </si>
  <si>
    <t>A2 -  Planilha de composição do BDI; Estes valores serão automaticamente inseridos no módulo 6 das planilhas B1, B2 e B3.</t>
  </si>
  <si>
    <t>B  - Planilha de postos de serviços com mão de obra residente (Eletricista, Auxiliar e Técnico em Edificações - Supervisor) a serem realizados na capital  - Os preços de referência foram obtidos através da Convenção Coletiva -  SEEACONCE e podem ser alterados. Considerou-se nas planilhas de formação que os profissionais (ELETRICISTA E TÉCNICO SUPERVISOR) possuem Adicional de Periculosidade de 30%, tendo em vista poderem atuar em área de Sistema Elétrico de Potência - SEP, conforme laudos de insalubridade e periculosidade de referência (docs. 92 e 93) para a contratação. Valores serão pagos mensalmente.</t>
  </si>
  <si>
    <t>ANEXO IX E - PLANILHA DE MATERIAIS DE REPOSIÇÃO ELÉTRICO, HIDRÁULICO E CONSTRUÇÃO CIVIL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</si>
</sst>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_(&quot;R$ &quot;* #,##0.00_);_(&quot;R$ &quot;* \(#,##0.00\);_(&quot;R$ &quot;* \-??_);_(@_)"/>
    <numFmt numFmtId="172" formatCode="_-[$R$-416]\ * #,##0.00_-;\-[$R$-416]\ * #,##0.00_-;_-[$R$-416]\ * \-??_-;_-@_-"/>
    <numFmt numFmtId="173" formatCode="0.0%"/>
    <numFmt numFmtId="174" formatCode="0.0000"/>
    <numFmt numFmtId="175" formatCode="#\ ???/???"/>
    <numFmt numFmtId="176" formatCode="&quot;R$ &quot;#,##0.00;[Red]&quot;-R$ &quot;#,##0.00"/>
    <numFmt numFmtId="177" formatCode="_(* #,##0_);_(* \(#,##0\);_(* \-??_);_(@_)"/>
    <numFmt numFmtId="178" formatCode="dd/mm/yy"/>
    <numFmt numFmtId="179" formatCode="&quot;R$ &quot;#,##0.00"/>
    <numFmt numFmtId="180" formatCode="_(* #,##0.00_);_(* \(#,##0.00\);_(* &quot;-&quot;??_);_(@_)"/>
    <numFmt numFmtId="181" formatCode="_-* #,##0.000_-;\-* #,##0.000_-;_-* &quot;-&quot;??_-;_-@_-"/>
    <numFmt numFmtId="182" formatCode="_-* #,##0.0000_-;\-* #,##0.0000_-;_-* &quot;-&quot;??_-;_-@_-"/>
    <numFmt numFmtId="183" formatCode="0.0"/>
    <numFmt numFmtId="184" formatCode="&quot; R$ &quot;#,##0.00&quot; &quot;;&quot; R$ (&quot;#,##0.00&quot;)&quot;;&quot; R$ -&quot;#&quot; &quot;;@&quot; &quot;"/>
    <numFmt numFmtId="185" formatCode="#.##0"/>
    <numFmt numFmtId="186" formatCode="[$R$-416]\ #,##0.00;[Red]\-[$R$-416]\ #,##0.00"/>
    <numFmt numFmtId="187" formatCode="_(&quot;R$ &quot;* #,##0.00_);_(&quot;R$ &quot;* \(#,##0.00\);_(&quot;R$ &quot;* &quot;-&quot;??_);_(@_)"/>
    <numFmt numFmtId="188" formatCode="0.0000%"/>
    <numFmt numFmtId="189" formatCode="_(* #,##0_);_(* \(#,##0\);_(* &quot;-&quot;??_);_(@_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77">
    <font>
      <sz val="10"/>
      <name val="Arial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2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12"/>
      <color indexed="8"/>
      <name val="Arial Narrow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0" fillId="0" borderId="0">
      <alignment/>
      <protection/>
    </xf>
    <xf numFmtId="0" fontId="24" fillId="0" borderId="0" applyBorder="0" applyProtection="0">
      <alignment/>
    </xf>
    <xf numFmtId="184" fontId="64" fillId="0" borderId="0" applyBorder="0" applyProtection="0">
      <alignment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9" fillId="21" borderId="5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0" borderId="9" applyNumberFormat="0" applyFill="0" applyAlignment="0" applyProtection="0"/>
    <xf numFmtId="170" fontId="0" fillId="0" borderId="0" applyFill="0" applyBorder="0" applyAlignment="0" applyProtection="0"/>
  </cellStyleXfs>
  <cellXfs count="76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170" fontId="0" fillId="0" borderId="10" xfId="59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34" borderId="11" xfId="0" applyFont="1" applyFill="1" applyBorder="1" applyAlignment="1">
      <alignment horizontal="center" vertical="center" wrapText="1"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3" fillId="0" borderId="10" xfId="5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0" fontId="10" fillId="34" borderId="16" xfId="0" applyNumberFormat="1" applyFont="1" applyFill="1" applyBorder="1" applyAlignment="1">
      <alignment/>
    </xf>
    <xf numFmtId="10" fontId="0" fillId="35" borderId="10" xfId="0" applyNumberFormat="1" applyFill="1" applyBorder="1" applyAlignment="1" applyProtection="1">
      <alignment/>
      <protection locked="0"/>
    </xf>
    <xf numFmtId="10" fontId="0" fillId="35" borderId="17" xfId="0" applyNumberFormat="1" applyFill="1" applyBorder="1" applyAlignment="1" applyProtection="1">
      <alignment/>
      <protection locked="0"/>
    </xf>
    <xf numFmtId="10" fontId="3" fillId="34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0" fillId="0" borderId="0" xfId="50" applyFill="1" applyBorder="1" applyAlignment="1" applyProtection="1">
      <alignment horizontal="left" wrapText="1"/>
      <protection/>
    </xf>
    <xf numFmtId="170" fontId="0" fillId="0" borderId="0" xfId="59" applyFill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4" fillId="0" borderId="14" xfId="0" applyFont="1" applyBorder="1" applyAlignment="1">
      <alignment wrapText="1"/>
    </xf>
    <xf numFmtId="171" fontId="0" fillId="0" borderId="14" xfId="50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71" fontId="3" fillId="0" borderId="24" xfId="50" applyFont="1" applyFill="1" applyBorder="1" applyAlignment="1" applyProtection="1">
      <alignment/>
      <protection/>
    </xf>
    <xf numFmtId="175" fontId="0" fillId="0" borderId="24" xfId="0" applyNumberFormat="1" applyBorder="1" applyAlignment="1">
      <alignment horizontal="right"/>
    </xf>
    <xf numFmtId="171" fontId="0" fillId="0" borderId="25" xfId="50" applyFill="1" applyBorder="1" applyAlignment="1" applyProtection="1">
      <alignment/>
      <protection/>
    </xf>
    <xf numFmtId="176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5" fontId="0" fillId="0" borderId="10" xfId="0" applyNumberFormat="1" applyBorder="1" applyAlignment="1">
      <alignment horizontal="right"/>
    </xf>
    <xf numFmtId="171" fontId="0" fillId="0" borderId="28" xfId="50" applyFill="1" applyBorder="1" applyAlignment="1" applyProtection="1">
      <alignment/>
      <protection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5" fontId="0" fillId="0" borderId="17" xfId="0" applyNumberFormat="1" applyBorder="1" applyAlignment="1">
      <alignment horizontal="right"/>
    </xf>
    <xf numFmtId="171" fontId="0" fillId="0" borderId="29" xfId="50" applyFill="1" applyBorder="1" applyAlignment="1" applyProtection="1">
      <alignment/>
      <protection/>
    </xf>
    <xf numFmtId="0" fontId="0" fillId="34" borderId="30" xfId="0" applyFill="1" applyBorder="1" applyAlignment="1">
      <alignment wrapText="1"/>
    </xf>
    <xf numFmtId="171" fontId="0" fillId="34" borderId="30" xfId="50" applyFill="1" applyBorder="1" applyAlignment="1" applyProtection="1">
      <alignment wrapText="1"/>
      <protection/>
    </xf>
    <xf numFmtId="171" fontId="0" fillId="34" borderId="30" xfId="50" applyFill="1" applyBorder="1" applyAlignment="1" applyProtection="1">
      <alignment/>
      <protection/>
    </xf>
    <xf numFmtId="171" fontId="0" fillId="34" borderId="30" xfId="50" applyFont="1" applyFill="1" applyBorder="1" applyAlignment="1" applyProtection="1">
      <alignment/>
      <protection/>
    </xf>
    <xf numFmtId="171" fontId="3" fillId="34" borderId="30" xfId="0" applyNumberFormat="1" applyFont="1" applyFill="1" applyBorder="1" applyAlignment="1">
      <alignment/>
    </xf>
    <xf numFmtId="0" fontId="0" fillId="0" borderId="31" xfId="0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171" fontId="0" fillId="0" borderId="20" xfId="50" applyFill="1" applyBorder="1" applyAlignment="1" applyProtection="1">
      <alignment wrapText="1"/>
      <protection/>
    </xf>
    <xf numFmtId="171" fontId="0" fillId="0" borderId="20" xfId="50" applyFill="1" applyBorder="1" applyAlignment="1" applyProtection="1">
      <alignment/>
      <protection/>
    </xf>
    <xf numFmtId="171" fontId="0" fillId="0" borderId="20" xfId="50" applyFont="1" applyFill="1" applyBorder="1" applyAlignment="1" applyProtection="1">
      <alignment/>
      <protection/>
    </xf>
    <xf numFmtId="171" fontId="0" fillId="0" borderId="20" xfId="0" applyNumberFormat="1" applyFill="1" applyBorder="1" applyAlignment="1">
      <alignment/>
    </xf>
    <xf numFmtId="0" fontId="3" fillId="0" borderId="3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right" wrapText="1"/>
    </xf>
    <xf numFmtId="0" fontId="3" fillId="0" borderId="3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26" xfId="0" applyFont="1" applyBorder="1" applyAlignment="1">
      <alignment horizontal="center" wrapText="1"/>
    </xf>
    <xf numFmtId="171" fontId="0" fillId="35" borderId="24" xfId="50" applyFill="1" applyBorder="1" applyAlignment="1" applyProtection="1">
      <alignment/>
      <protection locked="0"/>
    </xf>
    <xf numFmtId="0" fontId="0" fillId="0" borderId="34" xfId="0" applyFont="1" applyBorder="1" applyAlignment="1">
      <alignment horizontal="center" wrapText="1"/>
    </xf>
    <xf numFmtId="0" fontId="3" fillId="34" borderId="35" xfId="0" applyFont="1" applyFill="1" applyBorder="1" applyAlignment="1">
      <alignment wrapText="1"/>
    </xf>
    <xf numFmtId="171" fontId="3" fillId="34" borderId="35" xfId="0" applyNumberFormat="1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171" fontId="3" fillId="34" borderId="30" xfId="50" applyFont="1" applyFill="1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0" fontId="3" fillId="0" borderId="36" xfId="0" applyFont="1" applyFill="1" applyBorder="1" applyAlignment="1">
      <alignment wrapText="1"/>
    </xf>
    <xf numFmtId="177" fontId="0" fillId="0" borderId="24" xfId="59" applyNumberFormat="1" applyFill="1" applyBorder="1" applyAlignment="1" applyProtection="1">
      <alignment horizontal="right"/>
      <protection/>
    </xf>
    <xf numFmtId="177" fontId="0" fillId="0" borderId="10" xfId="59" applyNumberFormat="1" applyFill="1" applyBorder="1" applyAlignment="1" applyProtection="1">
      <alignment horizontal="right"/>
      <protection/>
    </xf>
    <xf numFmtId="0" fontId="0" fillId="0" borderId="34" xfId="0" applyFont="1" applyBorder="1" applyAlignment="1">
      <alignment wrapText="1"/>
    </xf>
    <xf numFmtId="177" fontId="0" fillId="0" borderId="17" xfId="59" applyNumberFormat="1" applyFill="1" applyBorder="1" applyAlignment="1" applyProtection="1">
      <alignment horizontal="right"/>
      <protection/>
    </xf>
    <xf numFmtId="171" fontId="3" fillId="34" borderId="30" xfId="0" applyNumberFormat="1" applyFont="1" applyFill="1" applyBorder="1" applyAlignment="1">
      <alignment wrapText="1"/>
    </xf>
    <xf numFmtId="10" fontId="16" fillId="35" borderId="27" xfId="0" applyNumberFormat="1" applyFont="1" applyFill="1" applyBorder="1" applyAlignment="1" applyProtection="1">
      <alignment/>
      <protection locked="0"/>
    </xf>
    <xf numFmtId="10" fontId="16" fillId="34" borderId="27" xfId="0" applyNumberFormat="1" applyFont="1" applyFill="1" applyBorder="1" applyAlignment="1">
      <alignment/>
    </xf>
    <xf numFmtId="0" fontId="3" fillId="34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38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71" fontId="0" fillId="0" borderId="10" xfId="5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171" fontId="0" fillId="0" borderId="10" xfId="50" applyFont="1" applyFill="1" applyBorder="1" applyAlignment="1" applyProtection="1">
      <alignment/>
      <protection/>
    </xf>
    <xf numFmtId="0" fontId="11" fillId="0" borderId="39" xfId="0" applyFont="1" applyBorder="1" applyAlignment="1">
      <alignment/>
    </xf>
    <xf numFmtId="171" fontId="3" fillId="0" borderId="10" xfId="5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1" fontId="0" fillId="0" borderId="0" xfId="50" applyFont="1" applyFill="1" applyBorder="1" applyAlignment="1" applyProtection="1">
      <alignment/>
      <protection/>
    </xf>
    <xf numFmtId="0" fontId="3" fillId="34" borderId="40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3" fillId="0" borderId="38" xfId="0" applyFont="1" applyBorder="1" applyAlignment="1">
      <alignment horizontal="left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1" fontId="3" fillId="0" borderId="0" xfId="50" applyFont="1" applyFill="1" applyBorder="1" applyAlignment="1" applyProtection="1">
      <alignment horizontal="right"/>
      <protection/>
    </xf>
    <xf numFmtId="171" fontId="3" fillId="0" borderId="0" xfId="0" applyNumberFormat="1" applyFont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71" fontId="0" fillId="35" borderId="10" xfId="5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171" fontId="0" fillId="0" borderId="10" xfId="50" applyFont="1" applyFill="1" applyBorder="1" applyAlignment="1" applyProtection="1">
      <alignment horizontal="center"/>
      <protection/>
    </xf>
    <xf numFmtId="170" fontId="3" fillId="0" borderId="10" xfId="59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vertical="center"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1" fontId="0" fillId="35" borderId="10" xfId="5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171" fontId="0" fillId="35" borderId="10" xfId="5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3" fillId="0" borderId="4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10" fontId="0" fillId="0" borderId="10" xfId="0" applyNumberFormat="1" applyBorder="1" applyAlignment="1">
      <alignment/>
    </xf>
    <xf numFmtId="10" fontId="10" fillId="35" borderId="10" xfId="0" applyNumberFormat="1" applyFont="1" applyFill="1" applyBorder="1" applyAlignment="1" applyProtection="1">
      <alignment/>
      <protection locked="0"/>
    </xf>
    <xf numFmtId="10" fontId="10" fillId="34" borderId="10" xfId="0" applyNumberFormat="1" applyFont="1" applyFill="1" applyBorder="1" applyAlignment="1">
      <alignment/>
    </xf>
    <xf numFmtId="10" fontId="3" fillId="0" borderId="10" xfId="0" applyNumberFormat="1" applyFont="1" applyBorder="1" applyAlignment="1">
      <alignment horizontal="center"/>
    </xf>
    <xf numFmtId="0" fontId="3" fillId="34" borderId="32" xfId="0" applyFont="1" applyFill="1" applyBorder="1" applyAlignment="1">
      <alignment horizontal="left" wrapText="1"/>
    </xf>
    <xf numFmtId="0" fontId="3" fillId="34" borderId="44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0" fillId="34" borderId="14" xfId="0" applyFill="1" applyBorder="1" applyAlignment="1">
      <alignment horizontal="left"/>
    </xf>
    <xf numFmtId="0" fontId="3" fillId="34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vertical="center" wrapText="1"/>
    </xf>
    <xf numFmtId="0" fontId="5" fillId="0" borderId="5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51" xfId="0" applyFont="1" applyBorder="1" applyAlignment="1">
      <alignment wrapText="1"/>
    </xf>
    <xf numFmtId="10" fontId="0" fillId="0" borderId="0" xfId="57" applyNumberFormat="1" applyAlignment="1">
      <alignment/>
    </xf>
    <xf numFmtId="43" fontId="0" fillId="0" borderId="0" xfId="0" applyNumberFormat="1" applyAlignment="1">
      <alignment/>
    </xf>
    <xf numFmtId="0" fontId="3" fillId="34" borderId="4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wrapText="1"/>
    </xf>
    <xf numFmtId="0" fontId="0" fillId="0" borderId="52" xfId="0" applyBorder="1" applyAlignment="1">
      <alignment/>
    </xf>
    <xf numFmtId="0" fontId="3" fillId="34" borderId="5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17" fillId="0" borderId="52" xfId="0" applyFont="1" applyFill="1" applyBorder="1" applyAlignment="1">
      <alignment horizontal="center" vertical="top" wrapText="1"/>
    </xf>
    <xf numFmtId="0" fontId="17" fillId="0" borderId="52" xfId="0" applyFont="1" applyFill="1" applyBorder="1" applyAlignment="1">
      <alignment horizontal="left" vertical="top" wrapText="1"/>
    </xf>
    <xf numFmtId="183" fontId="26" fillId="0" borderId="52" xfId="0" applyNumberFormat="1" applyFont="1" applyFill="1" applyBorder="1" applyAlignment="1">
      <alignment horizontal="center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center" vertical="top" wrapText="1"/>
    </xf>
    <xf numFmtId="183" fontId="27" fillId="0" borderId="52" xfId="0" applyNumberFormat="1" applyFont="1" applyFill="1" applyBorder="1" applyAlignment="1">
      <alignment horizontal="center" vertical="top" wrapText="1"/>
    </xf>
    <xf numFmtId="10" fontId="0" fillId="0" borderId="52" xfId="57" applyNumberFormat="1" applyFill="1" applyBorder="1" applyAlignment="1">
      <alignment horizontal="center" vertical="top" wrapText="1"/>
    </xf>
    <xf numFmtId="0" fontId="19" fillId="0" borderId="52" xfId="0" applyFont="1" applyFill="1" applyBorder="1" applyAlignment="1">
      <alignment horizontal="left" vertical="top" wrapText="1"/>
    </xf>
    <xf numFmtId="10" fontId="3" fillId="0" borderId="52" xfId="57" applyNumberFormat="1" applyFont="1" applyFill="1" applyBorder="1" applyAlignment="1">
      <alignment horizontal="center" vertical="top" wrapText="1"/>
    </xf>
    <xf numFmtId="183" fontId="26" fillId="36" borderId="52" xfId="0" applyNumberFormat="1" applyFont="1" applyFill="1" applyBorder="1" applyAlignment="1">
      <alignment horizontal="center" vertical="top" wrapText="1"/>
    </xf>
    <xf numFmtId="0" fontId="0" fillId="36" borderId="52" xfId="0" applyFill="1" applyBorder="1" applyAlignment="1">
      <alignment horizontal="left" vertical="top" wrapText="1"/>
    </xf>
    <xf numFmtId="10" fontId="0" fillId="36" borderId="52" xfId="57" applyNumberFormat="1" applyFill="1" applyBorder="1" applyAlignment="1">
      <alignment horizontal="center" vertical="top" wrapText="1"/>
    </xf>
    <xf numFmtId="0" fontId="0" fillId="0" borderId="24" xfId="0" applyFont="1" applyBorder="1" applyAlignment="1">
      <alignment vertical="center" wrapText="1"/>
    </xf>
    <xf numFmtId="0" fontId="21" fillId="37" borderId="54" xfId="0" applyFont="1" applyFill="1" applyBorder="1" applyAlignment="1">
      <alignment horizontal="center" vertical="center"/>
    </xf>
    <xf numFmtId="0" fontId="21" fillId="37" borderId="55" xfId="0" applyFont="1" applyFill="1" applyBorder="1" applyAlignment="1">
      <alignment horizontal="center" vertical="center"/>
    </xf>
    <xf numFmtId="0" fontId="21" fillId="38" borderId="55" xfId="0" applyFont="1" applyFill="1" applyBorder="1" applyAlignment="1">
      <alignment horizontal="center" vertical="center"/>
    </xf>
    <xf numFmtId="0" fontId="21" fillId="38" borderId="55" xfId="0" applyFont="1" applyFill="1" applyBorder="1" applyAlignment="1">
      <alignment horizontal="center" vertical="center" wrapText="1"/>
    </xf>
    <xf numFmtId="0" fontId="21" fillId="38" borderId="56" xfId="0" applyFont="1" applyFill="1" applyBorder="1" applyAlignment="1">
      <alignment horizontal="center" vertical="center" wrapText="1"/>
    </xf>
    <xf numFmtId="0" fontId="21" fillId="38" borderId="57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right" vertical="top"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wrapText="1"/>
    </xf>
    <xf numFmtId="184" fontId="21" fillId="0" borderId="53" xfId="46" applyFont="1" applyFill="1" applyBorder="1" applyAlignment="1" applyProtection="1">
      <alignment horizontal="center" vertical="center"/>
      <protection/>
    </xf>
    <xf numFmtId="184" fontId="21" fillId="0" borderId="59" xfId="46" applyFont="1" applyFill="1" applyBorder="1" applyAlignment="1" applyProtection="1">
      <alignment horizontal="center" vertical="center"/>
      <protection/>
    </xf>
    <xf numFmtId="184" fontId="21" fillId="0" borderId="60" xfId="46" applyFont="1" applyFill="1" applyBorder="1" applyAlignment="1" applyProtection="1">
      <alignment horizontal="center" vertical="center"/>
      <protection/>
    </xf>
    <xf numFmtId="0" fontId="22" fillId="0" borderId="61" xfId="0" applyFont="1" applyBorder="1" applyAlignment="1">
      <alignment horizontal="right" vertical="top"/>
    </xf>
    <xf numFmtId="0" fontId="22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184" fontId="22" fillId="0" borderId="52" xfId="46" applyFont="1" applyFill="1" applyBorder="1" applyAlignment="1" applyProtection="1">
      <alignment horizontal="center" vertical="center"/>
      <protection/>
    </xf>
    <xf numFmtId="170" fontId="22" fillId="0" borderId="52" xfId="59" applyFont="1" applyFill="1" applyBorder="1" applyAlignment="1" applyProtection="1">
      <alignment horizontal="center" vertical="center"/>
      <protection/>
    </xf>
    <xf numFmtId="184" fontId="22" fillId="0" borderId="45" xfId="46" applyFont="1" applyFill="1" applyBorder="1" applyAlignment="1" applyProtection="1">
      <alignment horizontal="center" vertical="center"/>
      <protection/>
    </xf>
    <xf numFmtId="184" fontId="22" fillId="0" borderId="62" xfId="46" applyFont="1" applyFill="1" applyBorder="1" applyAlignment="1" applyProtection="1">
      <alignment horizontal="right" vertical="center"/>
      <protection/>
    </xf>
    <xf numFmtId="0" fontId="22" fillId="0" borderId="63" xfId="0" applyFont="1" applyBorder="1" applyAlignment="1">
      <alignment horizontal="center"/>
    </xf>
    <xf numFmtId="0" fontId="22" fillId="0" borderId="63" xfId="0" applyFont="1" applyBorder="1" applyAlignment="1">
      <alignment/>
    </xf>
    <xf numFmtId="184" fontId="22" fillId="0" borderId="63" xfId="46" applyFont="1" applyFill="1" applyBorder="1" applyAlignment="1" applyProtection="1">
      <alignment horizontal="center" vertical="center"/>
      <protection/>
    </xf>
    <xf numFmtId="170" fontId="22" fillId="0" borderId="63" xfId="59" applyFont="1" applyFill="1" applyBorder="1" applyAlignment="1" applyProtection="1">
      <alignment horizontal="center" vertical="center"/>
      <protection/>
    </xf>
    <xf numFmtId="184" fontId="22" fillId="0" borderId="64" xfId="46" applyFont="1" applyFill="1" applyBorder="1" applyAlignment="1" applyProtection="1">
      <alignment horizontal="right" vertical="center"/>
      <protection/>
    </xf>
    <xf numFmtId="0" fontId="22" fillId="0" borderId="65" xfId="0" applyFont="1" applyBorder="1" applyAlignment="1">
      <alignment horizontal="right" vertical="top"/>
    </xf>
    <xf numFmtId="184" fontId="22" fillId="0" borderId="66" xfId="46" applyFont="1" applyFill="1" applyBorder="1" applyAlignment="1" applyProtection="1">
      <alignment horizontal="center" vertical="center"/>
      <protection/>
    </xf>
    <xf numFmtId="0" fontId="22" fillId="0" borderId="54" xfId="0" applyFont="1" applyBorder="1" applyAlignment="1">
      <alignment horizontal="right" vertical="top"/>
    </xf>
    <xf numFmtId="0" fontId="22" fillId="0" borderId="55" xfId="0" applyFont="1" applyBorder="1" applyAlignment="1">
      <alignment/>
    </xf>
    <xf numFmtId="0" fontId="21" fillId="0" borderId="55" xfId="0" applyFont="1" applyBorder="1" applyAlignment="1">
      <alignment/>
    </xf>
    <xf numFmtId="184" fontId="22" fillId="0" borderId="55" xfId="46" applyFont="1" applyFill="1" applyBorder="1" applyAlignment="1" applyProtection="1">
      <alignment horizontal="center" vertical="center"/>
      <protection/>
    </xf>
    <xf numFmtId="170" fontId="22" fillId="0" borderId="55" xfId="59" applyFont="1" applyFill="1" applyBorder="1" applyAlignment="1" applyProtection="1">
      <alignment horizontal="center" vertical="center"/>
      <protection/>
    </xf>
    <xf numFmtId="184" fontId="22" fillId="0" borderId="56" xfId="46" applyFont="1" applyFill="1" applyBorder="1" applyAlignment="1" applyProtection="1">
      <alignment horizontal="center" vertical="center"/>
      <protection/>
    </xf>
    <xf numFmtId="184" fontId="21" fillId="0" borderId="57" xfId="46" applyFont="1" applyFill="1" applyBorder="1" applyAlignment="1" applyProtection="1">
      <alignment horizontal="right" vertical="center"/>
      <protection/>
    </xf>
    <xf numFmtId="0" fontId="22" fillId="0" borderId="58" xfId="0" applyFont="1" applyBorder="1" applyAlignment="1">
      <alignment horizontal="right" vertical="top"/>
    </xf>
    <xf numFmtId="0" fontId="22" fillId="0" borderId="53" xfId="0" applyFont="1" applyBorder="1" applyAlignment="1">
      <alignment/>
    </xf>
    <xf numFmtId="170" fontId="21" fillId="0" borderId="53" xfId="59" applyFont="1" applyFill="1" applyBorder="1" applyAlignment="1" applyProtection="1">
      <alignment horizontal="center" vertical="center"/>
      <protection/>
    </xf>
    <xf numFmtId="184" fontId="21" fillId="0" borderId="60" xfId="46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84" fontId="21" fillId="0" borderId="0" xfId="0" applyNumberFormat="1" applyFont="1" applyAlignment="1">
      <alignment horizont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23" fillId="0" borderId="0" xfId="44" applyFont="1" applyBorder="1" applyAlignment="1">
      <alignment horizontal="left" wrapText="1"/>
      <protection/>
    </xf>
    <xf numFmtId="0" fontId="22" fillId="0" borderId="0" xfId="0" applyFont="1" applyAlignment="1">
      <alignment/>
    </xf>
    <xf numFmtId="0" fontId="23" fillId="0" borderId="0" xfId="44" applyFont="1" applyBorder="1" applyAlignment="1">
      <alignment horizontal="left" vertical="center" wrapText="1"/>
      <protection/>
    </xf>
    <xf numFmtId="0" fontId="3" fillId="0" borderId="52" xfId="0" applyFont="1" applyBorder="1" applyAlignment="1">
      <alignment/>
    </xf>
    <xf numFmtId="10" fontId="3" fillId="0" borderId="52" xfId="0" applyNumberFormat="1" applyFont="1" applyBorder="1" applyAlignment="1">
      <alignment/>
    </xf>
    <xf numFmtId="0" fontId="0" fillId="0" borderId="52" xfId="0" applyFont="1" applyFill="1" applyBorder="1" applyAlignment="1">
      <alignment horizontal="left" vertical="top" wrapText="1"/>
    </xf>
    <xf numFmtId="43" fontId="15" fillId="0" borderId="0" xfId="0" applyNumberFormat="1" applyFont="1" applyAlignment="1">
      <alignment/>
    </xf>
    <xf numFmtId="171" fontId="0" fillId="0" borderId="0" xfId="50" applyAlignment="1">
      <alignment/>
    </xf>
    <xf numFmtId="171" fontId="0" fillId="0" borderId="0" xfId="50" applyFill="1" applyAlignment="1">
      <alignment/>
    </xf>
    <xf numFmtId="171" fontId="0" fillId="0" borderId="0" xfId="5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51" xfId="0" applyFont="1" applyBorder="1" applyAlignment="1">
      <alignment/>
    </xf>
    <xf numFmtId="0" fontId="0" fillId="0" borderId="0" xfId="0" applyFill="1" applyAlignment="1" applyProtection="1">
      <alignment/>
      <protection/>
    </xf>
    <xf numFmtId="0" fontId="29" fillId="0" borderId="0" xfId="0" applyFont="1" applyAlignment="1">
      <alignment/>
    </xf>
    <xf numFmtId="0" fontId="29" fillId="0" borderId="52" xfId="0" applyFont="1" applyFill="1" applyBorder="1" applyAlignment="1">
      <alignment/>
    </xf>
    <xf numFmtId="171" fontId="29" fillId="0" borderId="52" xfId="50" applyFont="1" applyFill="1" applyBorder="1" applyAlignment="1">
      <alignment/>
    </xf>
    <xf numFmtId="10" fontId="29" fillId="0" borderId="52" xfId="57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29" fillId="0" borderId="52" xfId="0" applyFont="1" applyBorder="1" applyAlignment="1">
      <alignment/>
    </xf>
    <xf numFmtId="14" fontId="29" fillId="0" borderId="52" xfId="0" applyNumberFormat="1" applyFont="1" applyFill="1" applyBorder="1" applyAlignment="1">
      <alignment/>
    </xf>
    <xf numFmtId="0" fontId="29" fillId="0" borderId="52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67" xfId="0" applyFont="1" applyFill="1" applyBorder="1" applyAlignment="1">
      <alignment/>
    </xf>
    <xf numFmtId="0" fontId="30" fillId="0" borderId="67" xfId="0" applyFont="1" applyBorder="1" applyAlignment="1">
      <alignment/>
    </xf>
    <xf numFmtId="9" fontId="30" fillId="0" borderId="67" xfId="57" applyFont="1" applyFill="1" applyBorder="1" applyAlignment="1">
      <alignment/>
    </xf>
    <xf numFmtId="4" fontId="29" fillId="0" borderId="52" xfId="50" applyNumberFormat="1" applyFont="1" applyFill="1" applyBorder="1" applyAlignment="1">
      <alignment/>
    </xf>
    <xf numFmtId="0" fontId="29" fillId="0" borderId="46" xfId="0" applyFont="1" applyFill="1" applyBorder="1" applyAlignment="1">
      <alignment/>
    </xf>
    <xf numFmtId="0" fontId="29" fillId="0" borderId="46" xfId="0" applyFont="1" applyBorder="1" applyAlignment="1">
      <alignment/>
    </xf>
    <xf numFmtId="9" fontId="29" fillId="0" borderId="46" xfId="57" applyFont="1" applyFill="1" applyBorder="1" applyAlignment="1">
      <alignment/>
    </xf>
    <xf numFmtId="171" fontId="29" fillId="0" borderId="52" xfId="50" applyFont="1" applyFill="1" applyBorder="1" applyAlignment="1">
      <alignment horizontal="center"/>
    </xf>
    <xf numFmtId="14" fontId="29" fillId="0" borderId="52" xfId="50" applyNumberFormat="1" applyFont="1" applyFill="1" applyBorder="1" applyAlignment="1">
      <alignment horizontal="center"/>
    </xf>
    <xf numFmtId="9" fontId="29" fillId="0" borderId="0" xfId="57" applyFont="1" applyFill="1" applyAlignment="1">
      <alignment/>
    </xf>
    <xf numFmtId="0" fontId="29" fillId="0" borderId="0" xfId="0" applyFont="1" applyFill="1" applyAlignment="1">
      <alignment/>
    </xf>
    <xf numFmtId="0" fontId="30" fillId="36" borderId="52" xfId="0" applyFont="1" applyFill="1" applyBorder="1" applyAlignment="1">
      <alignment horizontal="center"/>
    </xf>
    <xf numFmtId="0" fontId="29" fillId="0" borderId="45" xfId="0" applyFont="1" applyFill="1" applyBorder="1" applyAlignment="1">
      <alignment/>
    </xf>
    <xf numFmtId="0" fontId="29" fillId="0" borderId="47" xfId="0" applyFont="1" applyBorder="1" applyAlignment="1">
      <alignment/>
    </xf>
    <xf numFmtId="9" fontId="29" fillId="0" borderId="52" xfId="57" applyFont="1" applyFill="1" applyBorder="1" applyAlignment="1">
      <alignment/>
    </xf>
    <xf numFmtId="9" fontId="29" fillId="0" borderId="52" xfId="57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9" fontId="29" fillId="0" borderId="0" xfId="57" applyFont="1" applyFill="1" applyBorder="1" applyAlignment="1">
      <alignment/>
    </xf>
    <xf numFmtId="4" fontId="29" fillId="0" borderId="0" xfId="5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36" borderId="52" xfId="0" applyFont="1" applyFill="1" applyBorder="1" applyAlignment="1">
      <alignment horizontal="center" wrapText="1"/>
    </xf>
    <xf numFmtId="9" fontId="29" fillId="0" borderId="52" xfId="57" applyNumberFormat="1" applyFont="1" applyFill="1" applyBorder="1" applyAlignment="1">
      <alignment horizontal="center"/>
    </xf>
    <xf numFmtId="0" fontId="29" fillId="0" borderId="45" xfId="0" applyFont="1" applyBorder="1" applyAlignment="1">
      <alignment/>
    </xf>
    <xf numFmtId="0" fontId="29" fillId="0" borderId="66" xfId="0" applyFont="1" applyFill="1" applyBorder="1" applyAlignment="1">
      <alignment/>
    </xf>
    <xf numFmtId="9" fontId="29" fillId="0" borderId="63" xfId="57" applyFont="1" applyFill="1" applyBorder="1" applyAlignment="1">
      <alignment horizontal="center"/>
    </xf>
    <xf numFmtId="4" fontId="29" fillId="0" borderId="63" xfId="50" applyNumberFormat="1" applyFont="1" applyFill="1" applyBorder="1" applyAlignment="1">
      <alignment/>
    </xf>
    <xf numFmtId="4" fontId="29" fillId="0" borderId="47" xfId="50" applyNumberFormat="1" applyFont="1" applyFill="1" applyBorder="1" applyAlignment="1">
      <alignment/>
    </xf>
    <xf numFmtId="171" fontId="29" fillId="0" borderId="47" xfId="50" applyFont="1" applyFill="1" applyBorder="1" applyAlignment="1">
      <alignment/>
    </xf>
    <xf numFmtId="0" fontId="29" fillId="36" borderId="52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left"/>
    </xf>
    <xf numFmtId="0" fontId="29" fillId="0" borderId="11" xfId="0" applyFont="1" applyFill="1" applyBorder="1" applyAlignment="1">
      <alignment/>
    </xf>
    <xf numFmtId="0" fontId="29" fillId="0" borderId="43" xfId="0" applyFont="1" applyFill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12" xfId="0" applyFont="1" applyFill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29" fillId="0" borderId="39" xfId="0" applyFont="1" applyFill="1" applyBorder="1" applyAlignment="1">
      <alignment/>
    </xf>
    <xf numFmtId="10" fontId="29" fillId="0" borderId="52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9" fontId="29" fillId="0" borderId="17" xfId="0" applyNumberFormat="1" applyFont="1" applyFill="1" applyBorder="1" applyAlignment="1">
      <alignment/>
    </xf>
    <xf numFmtId="0" fontId="29" fillId="0" borderId="41" xfId="0" applyFont="1" applyFill="1" applyBorder="1" applyAlignment="1">
      <alignment/>
    </xf>
    <xf numFmtId="0" fontId="29" fillId="0" borderId="42" xfId="0" applyFont="1" applyFill="1" applyBorder="1" applyAlignment="1">
      <alignment/>
    </xf>
    <xf numFmtId="49" fontId="29" fillId="0" borderId="0" xfId="0" applyNumberFormat="1" applyFont="1" applyBorder="1" applyAlignment="1">
      <alignment/>
    </xf>
    <xf numFmtId="0" fontId="29" fillId="33" borderId="24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173" fontId="29" fillId="0" borderId="10" xfId="57" applyNumberFormat="1" applyFont="1" applyFill="1" applyBorder="1" applyAlignment="1" applyProtection="1">
      <alignment horizontal="center"/>
      <protection/>
    </xf>
    <xf numFmtId="49" fontId="29" fillId="0" borderId="10" xfId="0" applyNumberFormat="1" applyFont="1" applyBorder="1" applyAlignment="1">
      <alignment/>
    </xf>
    <xf numFmtId="49" fontId="29" fillId="0" borderId="0" xfId="0" applyNumberFormat="1" applyFont="1" applyFill="1" applyBorder="1" applyAlignment="1">
      <alignment/>
    </xf>
    <xf numFmtId="171" fontId="29" fillId="0" borderId="0" xfId="50" applyFont="1" applyFill="1" applyBorder="1" applyAlignment="1">
      <alignment/>
    </xf>
    <xf numFmtId="0" fontId="29" fillId="0" borderId="52" xfId="0" applyFont="1" applyFill="1" applyBorder="1" applyAlignment="1">
      <alignment horizontal="center" wrapText="1"/>
    </xf>
    <xf numFmtId="49" fontId="29" fillId="0" borderId="24" xfId="0" applyNumberFormat="1" applyFont="1" applyFill="1" applyBorder="1" applyAlignment="1">
      <alignment/>
    </xf>
    <xf numFmtId="4" fontId="29" fillId="0" borderId="53" xfId="50" applyNumberFormat="1" applyFont="1" applyFill="1" applyBorder="1" applyAlignment="1">
      <alignment/>
    </xf>
    <xf numFmtId="49" fontId="29" fillId="0" borderId="68" xfId="0" applyNumberFormat="1" applyFont="1" applyFill="1" applyBorder="1" applyAlignment="1">
      <alignment vertical="center"/>
    </xf>
    <xf numFmtId="0" fontId="29" fillId="0" borderId="52" xfId="0" applyFont="1" applyFill="1" applyBorder="1" applyAlignment="1">
      <alignment/>
    </xf>
    <xf numFmtId="49" fontId="29" fillId="0" borderId="38" xfId="0" applyNumberFormat="1" applyFont="1" applyFill="1" applyBorder="1" applyAlignment="1">
      <alignment vertical="center"/>
    </xf>
    <xf numFmtId="43" fontId="29" fillId="0" borderId="52" xfId="0" applyNumberFormat="1" applyFont="1" applyFill="1" applyBorder="1" applyAlignment="1">
      <alignment horizontal="center"/>
    </xf>
    <xf numFmtId="4" fontId="29" fillId="0" borderId="52" xfId="0" applyNumberFormat="1" applyFont="1" applyBorder="1" applyAlignment="1">
      <alignment/>
    </xf>
    <xf numFmtId="0" fontId="29" fillId="0" borderId="53" xfId="0" applyFont="1" applyFill="1" applyBorder="1" applyAlignment="1">
      <alignment/>
    </xf>
    <xf numFmtId="0" fontId="29" fillId="0" borderId="38" xfId="0" applyFont="1" applyFill="1" applyBorder="1" applyAlignment="1">
      <alignment horizontal="center" wrapText="1"/>
    </xf>
    <xf numFmtId="1" fontId="29" fillId="0" borderId="41" xfId="57" applyNumberFormat="1" applyFont="1" applyFill="1" applyBorder="1" applyAlignment="1" applyProtection="1">
      <alignment horizontal="center"/>
      <protection/>
    </xf>
    <xf numFmtId="173" fontId="29" fillId="0" borderId="52" xfId="57" applyNumberFormat="1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>
      <alignment horizontal="center" wrapText="1"/>
    </xf>
    <xf numFmtId="9" fontId="29" fillId="0" borderId="38" xfId="57" applyNumberFormat="1" applyFont="1" applyFill="1" applyBorder="1" applyAlignment="1" applyProtection="1">
      <alignment horizontal="center"/>
      <protection/>
    </xf>
    <xf numFmtId="49" fontId="29" fillId="33" borderId="11" xfId="0" applyNumberFormat="1" applyFont="1" applyFill="1" applyBorder="1" applyAlignment="1">
      <alignment/>
    </xf>
    <xf numFmtId="49" fontId="29" fillId="33" borderId="43" xfId="0" applyNumberFormat="1" applyFont="1" applyFill="1" applyBorder="1" applyAlignment="1">
      <alignment/>
    </xf>
    <xf numFmtId="0" fontId="29" fillId="0" borderId="52" xfId="0" applyFont="1" applyFill="1" applyBorder="1" applyAlignment="1">
      <alignment horizontal="left" wrapText="1"/>
    </xf>
    <xf numFmtId="0" fontId="29" fillId="0" borderId="46" xfId="0" applyFont="1" applyFill="1" applyBorder="1" applyAlignment="1">
      <alignment horizontal="left" wrapText="1"/>
    </xf>
    <xf numFmtId="0" fontId="29" fillId="0" borderId="47" xfId="0" applyFont="1" applyFill="1" applyBorder="1" applyAlignment="1">
      <alignment horizontal="left" wrapText="1"/>
    </xf>
    <xf numFmtId="10" fontId="29" fillId="0" borderId="52" xfId="0" applyNumberFormat="1" applyFont="1" applyFill="1" applyBorder="1" applyAlignment="1">
      <alignment horizontal="center"/>
    </xf>
    <xf numFmtId="188" fontId="29" fillId="0" borderId="52" xfId="0" applyNumberFormat="1" applyFont="1" applyFill="1" applyBorder="1" applyAlignment="1">
      <alignment horizontal="center"/>
    </xf>
    <xf numFmtId="49" fontId="29" fillId="0" borderId="52" xfId="0" applyNumberFormat="1" applyFont="1" applyBorder="1" applyAlignment="1">
      <alignment/>
    </xf>
    <xf numFmtId="0" fontId="29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49" fontId="29" fillId="0" borderId="52" xfId="0" applyNumberFormat="1" applyFont="1" applyFill="1" applyBorder="1" applyAlignment="1">
      <alignment/>
    </xf>
    <xf numFmtId="189" fontId="29" fillId="0" borderId="52" xfId="59" applyNumberFormat="1" applyFont="1" applyFill="1" applyBorder="1" applyAlignment="1">
      <alignment/>
    </xf>
    <xf numFmtId="43" fontId="29" fillId="0" borderId="63" xfId="0" applyNumberFormat="1" applyFont="1" applyFill="1" applyBorder="1" applyAlignment="1">
      <alignment horizontal="center"/>
    </xf>
    <xf numFmtId="4" fontId="29" fillId="0" borderId="5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Border="1" applyAlignment="1">
      <alignment horizontal="left"/>
    </xf>
    <xf numFmtId="10" fontId="29" fillId="0" borderId="0" xfId="57" applyNumberFormat="1" applyFont="1" applyFill="1" applyBorder="1" applyAlignment="1">
      <alignment/>
    </xf>
    <xf numFmtId="49" fontId="2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/>
      <protection/>
    </xf>
    <xf numFmtId="0" fontId="3" fillId="0" borderId="39" xfId="0" applyFont="1" applyBorder="1" applyAlignment="1">
      <alignment vertical="center"/>
    </xf>
    <xf numFmtId="171" fontId="3" fillId="0" borderId="10" xfId="0" applyNumberFormat="1" applyFont="1" applyBorder="1" applyAlignment="1">
      <alignment vertical="center"/>
    </xf>
    <xf numFmtId="171" fontId="3" fillId="0" borderId="0" xfId="50" applyFont="1" applyFill="1" applyBorder="1" applyAlignment="1" applyProtection="1">
      <alignment/>
      <protection/>
    </xf>
    <xf numFmtId="0" fontId="0" fillId="0" borderId="53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183" fontId="2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10" fontId="3" fillId="0" borderId="0" xfId="57" applyNumberFormat="1" applyFont="1" applyFill="1" applyBorder="1" applyAlignment="1">
      <alignment horizontal="center" vertical="top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9" fontId="29" fillId="0" borderId="72" xfId="0" applyNumberFormat="1" applyFont="1" applyBorder="1" applyAlignment="1">
      <alignment horizontal="center" vertical="center" wrapText="1"/>
    </xf>
    <xf numFmtId="9" fontId="70" fillId="0" borderId="72" xfId="0" applyNumberFormat="1" applyFont="1" applyBorder="1" applyAlignment="1">
      <alignment horizontal="center" vertical="center" wrapText="1"/>
    </xf>
    <xf numFmtId="0" fontId="29" fillId="0" borderId="72" xfId="0" applyFont="1" applyBorder="1" applyAlignment="1">
      <alignment horizontal="left" vertical="center" wrapText="1"/>
    </xf>
    <xf numFmtId="0" fontId="65" fillId="0" borderId="72" xfId="47" applyBorder="1" applyAlignment="1">
      <alignment horizontal="left" vertical="center" wrapText="1"/>
    </xf>
    <xf numFmtId="10" fontId="5" fillId="0" borderId="43" xfId="0" applyNumberFormat="1" applyFont="1" applyBorder="1" applyAlignment="1">
      <alignment wrapText="1"/>
    </xf>
    <xf numFmtId="10" fontId="5" fillId="0" borderId="39" xfId="0" applyNumberFormat="1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0" fillId="0" borderId="52" xfId="0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52" xfId="50" applyFill="1" applyBorder="1" applyAlignment="1" applyProtection="1">
      <alignment horizontal="left" wrapText="1"/>
      <protection/>
    </xf>
    <xf numFmtId="170" fontId="0" fillId="0" borderId="52" xfId="59" applyFill="1" applyBorder="1" applyAlignment="1" applyProtection="1">
      <alignment horizontal="left" wrapText="1"/>
      <protection/>
    </xf>
    <xf numFmtId="171" fontId="0" fillId="39" borderId="52" xfId="50" applyFill="1" applyBorder="1" applyAlignment="1" applyProtection="1">
      <alignment horizontal="left" wrapText="1"/>
      <protection/>
    </xf>
    <xf numFmtId="0" fontId="0" fillId="0" borderId="73" xfId="0" applyFont="1" applyBorder="1" applyAlignment="1">
      <alignment/>
    </xf>
    <xf numFmtId="179" fontId="0" fillId="0" borderId="74" xfId="50" applyNumberFormat="1" applyFill="1" applyBorder="1" applyAlignment="1" applyProtection="1">
      <alignment horizontal="right" wrapText="1"/>
      <protection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70" xfId="0" applyFont="1" applyBorder="1" applyAlignment="1">
      <alignment/>
    </xf>
    <xf numFmtId="171" fontId="3" fillId="0" borderId="77" xfId="0" applyNumberFormat="1" applyFont="1" applyBorder="1" applyAlignment="1">
      <alignment horizontal="center"/>
    </xf>
    <xf numFmtId="171" fontId="0" fillId="0" borderId="20" xfId="50" applyBorder="1" applyAlignment="1">
      <alignment horizontal="center" wrapText="1"/>
    </xf>
    <xf numFmtId="171" fontId="0" fillId="35" borderId="78" xfId="50" applyFill="1" applyBorder="1" applyAlignment="1" applyProtection="1">
      <alignment horizontal="center" vertical="center"/>
      <protection locked="0"/>
    </xf>
    <xf numFmtId="171" fontId="0" fillId="34" borderId="35" xfId="50" applyFill="1" applyBorder="1" applyAlignment="1">
      <alignment wrapText="1"/>
    </xf>
    <xf numFmtId="171" fontId="0" fillId="34" borderId="30" xfId="50" applyFill="1" applyBorder="1" applyAlignment="1">
      <alignment wrapText="1"/>
    </xf>
    <xf numFmtId="171" fontId="0" fillId="0" borderId="36" xfId="50" applyFill="1" applyBorder="1" applyAlignment="1">
      <alignment wrapText="1"/>
    </xf>
    <xf numFmtId="171" fontId="0" fillId="34" borderId="14" xfId="50" applyFill="1" applyBorder="1" applyAlignment="1">
      <alignment/>
    </xf>
    <xf numFmtId="179" fontId="0" fillId="0" borderId="79" xfId="50" applyNumberFormat="1" applyFill="1" applyBorder="1" applyAlignment="1" applyProtection="1">
      <alignment horizontal="right" wrapText="1"/>
      <protection/>
    </xf>
    <xf numFmtId="179" fontId="3" fillId="0" borderId="69" xfId="50" applyNumberFormat="1" applyFont="1" applyFill="1" applyBorder="1" applyAlignment="1" applyProtection="1">
      <alignment horizontal="right"/>
      <protection/>
    </xf>
    <xf numFmtId="0" fontId="0" fillId="0" borderId="50" xfId="0" applyFont="1" applyBorder="1" applyAlignment="1">
      <alignment/>
    </xf>
    <xf numFmtId="0" fontId="3" fillId="34" borderId="69" xfId="0" applyFont="1" applyFill="1" applyBorder="1" applyAlignment="1">
      <alignment horizontal="center" vertical="center"/>
    </xf>
    <xf numFmtId="179" fontId="0" fillId="0" borderId="80" xfId="50" applyNumberFormat="1" applyFill="1" applyBorder="1" applyAlignment="1" applyProtection="1">
      <alignment horizontal="right" wrapText="1"/>
      <protection/>
    </xf>
    <xf numFmtId="0" fontId="3" fillId="34" borderId="69" xfId="0" applyFont="1" applyFill="1" applyBorder="1" applyAlignment="1">
      <alignment horizontal="center" vertical="center" wrapText="1"/>
    </xf>
    <xf numFmtId="179" fontId="0" fillId="0" borderId="81" xfId="50" applyNumberFormat="1" applyFill="1" applyBorder="1" applyAlignment="1" applyProtection="1">
      <alignment horizontal="right" wrapText="1"/>
      <protection/>
    </xf>
    <xf numFmtId="179" fontId="0" fillId="0" borderId="82" xfId="50" applyNumberFormat="1" applyFill="1" applyBorder="1" applyAlignment="1" applyProtection="1">
      <alignment horizontal="right"/>
      <protection/>
    </xf>
    <xf numFmtId="179" fontId="0" fillId="0" borderId="83" xfId="50" applyNumberFormat="1" applyFill="1" applyBorder="1" applyAlignment="1" applyProtection="1">
      <alignment horizontal="right"/>
      <protection/>
    </xf>
    <xf numFmtId="0" fontId="0" fillId="0" borderId="36" xfId="0" applyFont="1" applyFill="1" applyBorder="1" applyAlignment="1">
      <alignment wrapText="1"/>
    </xf>
    <xf numFmtId="0" fontId="29" fillId="0" borderId="46" xfId="0" applyFont="1" applyBorder="1" applyAlignment="1">
      <alignment horizontal="left"/>
    </xf>
    <xf numFmtId="49" fontId="29" fillId="0" borderId="52" xfId="0" applyNumberFormat="1" applyFont="1" applyFill="1" applyBorder="1" applyAlignment="1">
      <alignment vertical="center"/>
    </xf>
    <xf numFmtId="9" fontId="29" fillId="0" borderId="52" xfId="57" applyFont="1" applyFill="1" applyBorder="1" applyAlignment="1" applyProtection="1">
      <alignment horizontal="center"/>
      <protection/>
    </xf>
    <xf numFmtId="0" fontId="29" fillId="0" borderId="47" xfId="0" applyFont="1" applyFill="1" applyBorder="1" applyAlignment="1">
      <alignment horizontal="center"/>
    </xf>
    <xf numFmtId="0" fontId="29" fillId="0" borderId="52" xfId="0" applyFont="1" applyBorder="1" applyAlignment="1">
      <alignment horizontal="left" wrapText="1"/>
    </xf>
    <xf numFmtId="0" fontId="70" fillId="0" borderId="52" xfId="0" applyFont="1" applyFill="1" applyBorder="1" applyAlignment="1">
      <alignment horizontal="center"/>
    </xf>
    <xf numFmtId="0" fontId="29" fillId="36" borderId="46" xfId="0" applyFont="1" applyFill="1" applyBorder="1" applyAlignment="1">
      <alignment horizontal="center" vertical="center" wrapText="1"/>
    </xf>
    <xf numFmtId="0" fontId="29" fillId="40" borderId="52" xfId="0" applyFont="1" applyFill="1" applyBorder="1" applyAlignment="1">
      <alignment horizontal="left" vertical="center" wrapText="1"/>
    </xf>
    <xf numFmtId="0" fontId="29" fillId="40" borderId="45" xfId="0" applyFont="1" applyFill="1" applyBorder="1" applyAlignment="1">
      <alignment vertical="center" wrapText="1"/>
    </xf>
    <xf numFmtId="0" fontId="29" fillId="40" borderId="46" xfId="0" applyFont="1" applyFill="1" applyBorder="1" applyAlignment="1">
      <alignment vertical="center" wrapText="1"/>
    </xf>
    <xf numFmtId="0" fontId="29" fillId="40" borderId="47" xfId="0" applyFont="1" applyFill="1" applyBorder="1" applyAlignment="1">
      <alignment vertical="center" wrapText="1"/>
    </xf>
    <xf numFmtId="0" fontId="29" fillId="0" borderId="84" xfId="0" applyFont="1" applyFill="1" applyBorder="1" applyAlignment="1">
      <alignment/>
    </xf>
    <xf numFmtId="0" fontId="29" fillId="36" borderId="47" xfId="0" applyFont="1" applyFill="1" applyBorder="1" applyAlignment="1">
      <alignment horizontal="center" vertical="center"/>
    </xf>
    <xf numFmtId="0" fontId="29" fillId="36" borderId="52" xfId="0" applyFont="1" applyFill="1" applyBorder="1" applyAlignment="1">
      <alignment horizontal="center" wrapText="1"/>
    </xf>
    <xf numFmtId="0" fontId="29" fillId="0" borderId="24" xfId="0" applyFont="1" applyFill="1" applyBorder="1" applyAlignment="1">
      <alignment horizontal="left"/>
    </xf>
    <xf numFmtId="10" fontId="29" fillId="0" borderId="63" xfId="0" applyNumberFormat="1" applyFont="1" applyFill="1" applyBorder="1" applyAlignment="1">
      <alignment/>
    </xf>
    <xf numFmtId="10" fontId="29" fillId="40" borderId="52" xfId="57" applyNumberFormat="1" applyFont="1" applyFill="1" applyBorder="1" applyAlignment="1">
      <alignment/>
    </xf>
    <xf numFmtId="4" fontId="29" fillId="0" borderId="52" xfId="0" applyNumberFormat="1" applyFont="1" applyBorder="1" applyAlignment="1">
      <alignment horizontal="right" wrapText="1"/>
    </xf>
    <xf numFmtId="4" fontId="29" fillId="0" borderId="52" xfId="0" applyNumberFormat="1" applyFont="1" applyFill="1" applyBorder="1" applyAlignment="1">
      <alignment horizontal="right"/>
    </xf>
    <xf numFmtId="4" fontId="29" fillId="0" borderId="0" xfId="0" applyNumberFormat="1" applyFont="1" applyBorder="1" applyAlignment="1">
      <alignment horizontal="right" wrapText="1"/>
    </xf>
    <xf numFmtId="0" fontId="29" fillId="36" borderId="52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vertical="center"/>
    </xf>
    <xf numFmtId="2" fontId="29" fillId="0" borderId="52" xfId="0" applyNumberFormat="1" applyFont="1" applyFill="1" applyBorder="1" applyAlignment="1">
      <alignment horizontal="right"/>
    </xf>
    <xf numFmtId="2" fontId="29" fillId="0" borderId="85" xfId="0" applyNumberFormat="1" applyFont="1" applyFill="1" applyBorder="1" applyAlignment="1">
      <alignment horizontal="right" wrapText="1"/>
    </xf>
    <xf numFmtId="4" fontId="29" fillId="0" borderId="0" xfId="0" applyNumberFormat="1" applyFont="1" applyBorder="1" applyAlignment="1">
      <alignment/>
    </xf>
    <xf numFmtId="0" fontId="29" fillId="36" borderId="52" xfId="0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>
      <alignment/>
    </xf>
    <xf numFmtId="0" fontId="29" fillId="40" borderId="45" xfId="0" applyFont="1" applyFill="1" applyBorder="1" applyAlignment="1">
      <alignment/>
    </xf>
    <xf numFmtId="4" fontId="29" fillId="40" borderId="52" xfId="50" applyNumberFormat="1" applyFont="1" applyFill="1" applyBorder="1" applyAlignment="1">
      <alignment/>
    </xf>
    <xf numFmtId="0" fontId="0" fillId="0" borderId="0" xfId="0" applyFont="1" applyAlignment="1">
      <alignment/>
    </xf>
    <xf numFmtId="10" fontId="29" fillId="0" borderId="0" xfId="0" applyNumberFormat="1" applyFont="1" applyFill="1" applyBorder="1" applyAlignment="1">
      <alignment horizontal="center"/>
    </xf>
    <xf numFmtId="4" fontId="29" fillId="0" borderId="53" xfId="0" applyNumberFormat="1" applyFont="1" applyFill="1" applyBorder="1" applyAlignment="1">
      <alignment/>
    </xf>
    <xf numFmtId="10" fontId="29" fillId="0" borderId="52" xfId="0" applyNumberFormat="1" applyFont="1" applyBorder="1" applyAlignment="1">
      <alignment horizontal="center" wrapText="1"/>
    </xf>
    <xf numFmtId="4" fontId="70" fillId="0" borderId="52" xfId="5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29" fillId="0" borderId="52" xfId="0" applyFont="1" applyBorder="1" applyAlignment="1">
      <alignment horizontal="center"/>
    </xf>
    <xf numFmtId="0" fontId="34" fillId="0" borderId="52" xfId="0" applyFont="1" applyFill="1" applyBorder="1" applyAlignment="1">
      <alignment horizontal="center" wrapText="1" shrinkToFit="1"/>
    </xf>
    <xf numFmtId="4" fontId="29" fillId="14" borderId="52" xfId="50" applyNumberFormat="1" applyFont="1" applyFill="1" applyBorder="1" applyAlignment="1">
      <alignment/>
    </xf>
    <xf numFmtId="10" fontId="0" fillId="14" borderId="52" xfId="57" applyNumberFormat="1" applyFill="1" applyBorder="1" applyAlignment="1">
      <alignment horizontal="center" vertical="top" wrapText="1"/>
    </xf>
    <xf numFmtId="10" fontId="29" fillId="14" borderId="52" xfId="0" applyNumberFormat="1" applyFont="1" applyFill="1" applyBorder="1" applyAlignment="1">
      <alignment horizontal="center"/>
    </xf>
    <xf numFmtId="10" fontId="29" fillId="14" borderId="52" xfId="57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170" fontId="0" fillId="39" borderId="10" xfId="59" applyFill="1" applyBorder="1" applyAlignment="1" applyProtection="1">
      <alignment/>
      <protection/>
    </xf>
    <xf numFmtId="170" fontId="0" fillId="39" borderId="10" xfId="59" applyFill="1" applyBorder="1" applyAlignment="1" applyProtection="1">
      <alignment horizontal="center"/>
      <protection/>
    </xf>
    <xf numFmtId="184" fontId="22" fillId="39" borderId="52" xfId="46" applyFont="1" applyFill="1" applyBorder="1" applyAlignment="1" applyProtection="1">
      <alignment horizontal="center" vertical="center"/>
      <protection/>
    </xf>
    <xf numFmtId="184" fontId="22" fillId="39" borderId="63" xfId="46" applyFont="1" applyFill="1" applyBorder="1" applyAlignment="1" applyProtection="1">
      <alignment horizontal="center" vertical="center"/>
      <protection/>
    </xf>
    <xf numFmtId="0" fontId="35" fillId="0" borderId="70" xfId="0" applyFont="1" applyBorder="1" applyAlignment="1">
      <alignment horizontal="center" vertical="center" wrapText="1"/>
    </xf>
    <xf numFmtId="9" fontId="29" fillId="40" borderId="52" xfId="57" applyFont="1" applyFill="1" applyBorder="1" applyAlignment="1">
      <alignment/>
    </xf>
    <xf numFmtId="0" fontId="30" fillId="36" borderId="63" xfId="0" applyFont="1" applyFill="1" applyBorder="1" applyAlignment="1">
      <alignment horizontal="center" wrapText="1"/>
    </xf>
    <xf numFmtId="10" fontId="3" fillId="0" borderId="0" xfId="57" applyNumberFormat="1" applyFont="1" applyAlignment="1">
      <alignment/>
    </xf>
    <xf numFmtId="0" fontId="5" fillId="0" borderId="7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10" fontId="5" fillId="0" borderId="42" xfId="0" applyNumberFormat="1" applyFont="1" applyBorder="1" applyAlignment="1">
      <alignment wrapText="1"/>
    </xf>
    <xf numFmtId="171" fontId="0" fillId="39" borderId="63" xfId="50" applyFill="1" applyBorder="1" applyAlignment="1" applyProtection="1">
      <alignment horizontal="left" wrapText="1"/>
      <protection/>
    </xf>
    <xf numFmtId="170" fontId="0" fillId="0" borderId="63" xfId="59" applyFill="1" applyBorder="1" applyAlignment="1" applyProtection="1">
      <alignment horizontal="left" wrapText="1"/>
      <protection/>
    </xf>
    <xf numFmtId="171" fontId="0" fillId="0" borderId="63" xfId="50" applyFill="1" applyBorder="1" applyAlignment="1" applyProtection="1">
      <alignment horizontal="left" wrapText="1"/>
      <protection/>
    </xf>
    <xf numFmtId="0" fontId="3" fillId="0" borderId="75" xfId="0" applyFont="1" applyFill="1" applyBorder="1" applyAlignment="1">
      <alignment wrapText="1"/>
    </xf>
    <xf numFmtId="0" fontId="0" fillId="0" borderId="76" xfId="0" applyFont="1" applyFill="1" applyBorder="1" applyAlignment="1">
      <alignment horizontal="left" wrapText="1"/>
    </xf>
    <xf numFmtId="171" fontId="0" fillId="0" borderId="76" xfId="50" applyFill="1" applyBorder="1" applyAlignment="1" applyProtection="1">
      <alignment horizontal="left" wrapText="1"/>
      <protection/>
    </xf>
    <xf numFmtId="170" fontId="0" fillId="0" borderId="76" xfId="59" applyFill="1" applyBorder="1" applyAlignment="1" applyProtection="1">
      <alignment horizontal="left" wrapText="1"/>
      <protection/>
    </xf>
    <xf numFmtId="0" fontId="0" fillId="0" borderId="76" xfId="0" applyBorder="1" applyAlignment="1">
      <alignment/>
    </xf>
    <xf numFmtId="171" fontId="3" fillId="0" borderId="70" xfId="0" applyNumberFormat="1" applyFont="1" applyBorder="1" applyAlignment="1">
      <alignment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170" fontId="0" fillId="0" borderId="0" xfId="59" applyAlignment="1">
      <alignment/>
    </xf>
    <xf numFmtId="0" fontId="37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3" fillId="0" borderId="76" xfId="0" applyFont="1" applyFill="1" applyBorder="1" applyAlignment="1">
      <alignment wrapText="1"/>
    </xf>
    <xf numFmtId="9" fontId="29" fillId="0" borderId="52" xfId="0" applyNumberFormat="1" applyFont="1" applyBorder="1" applyAlignment="1">
      <alignment horizontal="center"/>
    </xf>
    <xf numFmtId="0" fontId="0" fillId="40" borderId="0" xfId="0" applyFill="1" applyAlignment="1" applyProtection="1">
      <alignment/>
      <protection/>
    </xf>
    <xf numFmtId="0" fontId="0" fillId="40" borderId="0" xfId="0" applyFont="1" applyFill="1" applyBorder="1" applyAlignment="1" applyProtection="1">
      <alignment horizontal="center"/>
      <protection/>
    </xf>
    <xf numFmtId="171" fontId="0" fillId="40" borderId="0" xfId="50" applyFill="1" applyBorder="1" applyAlignment="1" applyProtection="1">
      <alignment horizontal="center"/>
      <protection/>
    </xf>
    <xf numFmtId="0" fontId="3" fillId="40" borderId="10" xfId="0" applyFont="1" applyFill="1" applyBorder="1" applyAlignment="1" applyProtection="1">
      <alignment horizontal="center"/>
      <protection/>
    </xf>
    <xf numFmtId="0" fontId="3" fillId="40" borderId="10" xfId="0" applyFont="1" applyFill="1" applyBorder="1" applyAlignment="1" applyProtection="1">
      <alignment horizontal="center" vertical="top"/>
      <protection/>
    </xf>
    <xf numFmtId="171" fontId="0" fillId="40" borderId="10" xfId="50" applyFill="1" applyBorder="1" applyAlignment="1" applyProtection="1">
      <alignment horizontal="center" wrapText="1"/>
      <protection/>
    </xf>
    <xf numFmtId="0" fontId="0" fillId="40" borderId="10" xfId="0" applyFont="1" applyFill="1" applyBorder="1" applyAlignment="1" applyProtection="1">
      <alignment/>
      <protection/>
    </xf>
    <xf numFmtId="0" fontId="0" fillId="40" borderId="10" xfId="0" applyFont="1" applyFill="1" applyBorder="1" applyAlignment="1" applyProtection="1">
      <alignment vertical="top" wrapText="1"/>
      <protection/>
    </xf>
    <xf numFmtId="0" fontId="6" fillId="40" borderId="10" xfId="0" applyFont="1" applyFill="1" applyBorder="1" applyAlignment="1" applyProtection="1">
      <alignment vertical="top" wrapText="1"/>
      <protection/>
    </xf>
    <xf numFmtId="0" fontId="0" fillId="40" borderId="10" xfId="0" applyFont="1" applyFill="1" applyBorder="1" applyAlignment="1" applyProtection="1">
      <alignment horizontal="right"/>
      <protection/>
    </xf>
    <xf numFmtId="171" fontId="0" fillId="40" borderId="10" xfId="50" applyFill="1" applyBorder="1" applyAlignment="1" applyProtection="1">
      <alignment horizontal="center"/>
      <protection locked="0"/>
    </xf>
    <xf numFmtId="171" fontId="0" fillId="40" borderId="10" xfId="50" applyFill="1" applyBorder="1" applyAlignment="1" applyProtection="1">
      <alignment horizontal="center"/>
      <protection/>
    </xf>
    <xf numFmtId="0" fontId="0" fillId="40" borderId="10" xfId="0" applyFill="1" applyBorder="1" applyAlignment="1" applyProtection="1">
      <alignment vertical="top" wrapText="1"/>
      <protection/>
    </xf>
    <xf numFmtId="171" fontId="0" fillId="40" borderId="38" xfId="50" applyFill="1" applyBorder="1" applyAlignment="1" applyProtection="1">
      <alignment/>
      <protection/>
    </xf>
    <xf numFmtId="171" fontId="0" fillId="40" borderId="38" xfId="50" applyFill="1" applyBorder="1" applyAlignment="1" applyProtection="1">
      <alignment/>
      <protection/>
    </xf>
    <xf numFmtId="171" fontId="0" fillId="40" borderId="10" xfId="50" applyFill="1" applyBorder="1" applyAlignment="1" applyProtection="1">
      <alignment/>
      <protection/>
    </xf>
    <xf numFmtId="171" fontId="0" fillId="40" borderId="10" xfId="50" applyFill="1" applyBorder="1" applyAlignment="1" applyProtection="1">
      <alignment/>
      <protection/>
    </xf>
    <xf numFmtId="170" fontId="0" fillId="40" borderId="0" xfId="0" applyNumberFormat="1" applyFill="1" applyAlignment="1" applyProtection="1">
      <alignment/>
      <protection/>
    </xf>
    <xf numFmtId="170" fontId="0" fillId="40" borderId="10" xfId="59" applyFill="1" applyBorder="1" applyAlignment="1" applyProtection="1">
      <alignment/>
      <protection/>
    </xf>
    <xf numFmtId="171" fontId="3" fillId="40" borderId="10" xfId="50" applyFont="1" applyFill="1" applyBorder="1" applyAlignment="1" applyProtection="1">
      <alignment/>
      <protection/>
    </xf>
    <xf numFmtId="0" fontId="7" fillId="40" borderId="0" xfId="0" applyFont="1" applyFill="1" applyBorder="1" applyAlignment="1" applyProtection="1">
      <alignment horizontal="left"/>
      <protection/>
    </xf>
    <xf numFmtId="171" fontId="0" fillId="40" borderId="0" xfId="50" applyFill="1" applyBorder="1" applyAlignment="1" applyProtection="1">
      <alignment horizontal="left"/>
      <protection/>
    </xf>
    <xf numFmtId="0" fontId="0" fillId="40" borderId="0" xfId="0" applyFill="1" applyBorder="1" applyAlignment="1" applyProtection="1">
      <alignment/>
      <protection/>
    </xf>
    <xf numFmtId="0" fontId="0" fillId="40" borderId="10" xfId="0" applyFont="1" applyFill="1" applyBorder="1" applyAlignment="1" applyProtection="1">
      <alignment wrapText="1"/>
      <protection/>
    </xf>
    <xf numFmtId="1" fontId="0" fillId="40" borderId="10" xfId="73" applyNumberFormat="1" applyFont="1" applyFill="1" applyBorder="1" applyAlignment="1" applyProtection="1">
      <alignment horizontal="left" wrapText="1"/>
      <protection locked="0"/>
    </xf>
    <xf numFmtId="0" fontId="0" fillId="40" borderId="0" xfId="0" applyFill="1" applyAlignment="1">
      <alignment/>
    </xf>
    <xf numFmtId="171" fontId="0" fillId="40" borderId="86" xfId="50" applyFill="1" applyBorder="1" applyAlignment="1" applyProtection="1">
      <alignment/>
      <protection/>
    </xf>
    <xf numFmtId="43" fontId="0" fillId="40" borderId="0" xfId="0" applyNumberFormat="1" applyFill="1" applyAlignment="1" applyProtection="1">
      <alignment/>
      <protection/>
    </xf>
    <xf numFmtId="171" fontId="0" fillId="40" borderId="69" xfId="50" applyFill="1" applyBorder="1" applyAlignment="1" applyProtection="1">
      <alignment/>
      <protection/>
    </xf>
    <xf numFmtId="171" fontId="3" fillId="40" borderId="71" xfId="50" applyFont="1" applyFill="1" applyBorder="1" applyAlignment="1" applyProtection="1">
      <alignment/>
      <protection/>
    </xf>
    <xf numFmtId="171" fontId="0" fillId="40" borderId="0" xfId="50" applyFill="1" applyAlignment="1" applyProtection="1">
      <alignment/>
      <protection/>
    </xf>
    <xf numFmtId="0" fontId="3" fillId="40" borderId="24" xfId="0" applyFont="1" applyFill="1" applyBorder="1" applyAlignment="1" applyProtection="1">
      <alignment horizontal="center" vertical="center"/>
      <protection/>
    </xf>
    <xf numFmtId="171" fontId="0" fillId="40" borderId="24" xfId="50" applyFill="1" applyBorder="1" applyAlignment="1" applyProtection="1">
      <alignment horizontal="center" vertical="center" wrapText="1"/>
      <protection/>
    </xf>
    <xf numFmtId="171" fontId="0" fillId="41" borderId="24" xfId="50" applyFill="1" applyBorder="1" applyAlignment="1" applyProtection="1">
      <alignment/>
      <protection locked="0"/>
    </xf>
    <xf numFmtId="171" fontId="0" fillId="41" borderId="24" xfId="50" applyFill="1" applyBorder="1" applyAlignment="1" applyProtection="1">
      <alignment wrapText="1"/>
      <protection locked="0"/>
    </xf>
    <xf numFmtId="171" fontId="0" fillId="41" borderId="78" xfId="50" applyFill="1" applyBorder="1" applyAlignment="1" applyProtection="1">
      <alignment horizontal="center" vertical="center"/>
      <protection locked="0"/>
    </xf>
    <xf numFmtId="0" fontId="0" fillId="42" borderId="38" xfId="0" applyFont="1" applyFill="1" applyBorder="1" applyAlignment="1">
      <alignment vertical="center" wrapText="1"/>
    </xf>
    <xf numFmtId="171" fontId="0" fillId="42" borderId="10" xfId="50" applyFont="1" applyFill="1" applyBorder="1" applyAlignment="1" applyProtection="1">
      <alignment vertical="center" wrapText="1"/>
      <protection/>
    </xf>
    <xf numFmtId="171" fontId="0" fillId="40" borderId="10" xfId="50" applyFont="1" applyFill="1" applyBorder="1" applyAlignment="1" applyProtection="1">
      <alignment vertical="center"/>
      <protection/>
    </xf>
    <xf numFmtId="171" fontId="0" fillId="43" borderId="10" xfId="0" applyNumberFormat="1" applyFill="1" applyBorder="1" applyAlignment="1" applyProtection="1">
      <alignment vertical="center"/>
      <protection locked="0"/>
    </xf>
    <xf numFmtId="171" fontId="3" fillId="40" borderId="10" xfId="5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3" fillId="42" borderId="0" xfId="0" applyFont="1" applyFill="1" applyBorder="1" applyAlignment="1" applyProtection="1">
      <alignment horizontal="left" wrapText="1"/>
      <protection/>
    </xf>
    <xf numFmtId="0" fontId="3" fillId="40" borderId="87" xfId="0" applyFont="1" applyFill="1" applyBorder="1" applyAlignment="1" applyProtection="1">
      <alignment horizontal="left"/>
      <protection/>
    </xf>
    <xf numFmtId="0" fontId="3" fillId="40" borderId="88" xfId="0" applyFont="1" applyFill="1" applyBorder="1" applyAlignment="1" applyProtection="1">
      <alignment horizontal="left"/>
      <protection/>
    </xf>
    <xf numFmtId="0" fontId="3" fillId="40" borderId="75" xfId="0" applyFont="1" applyFill="1" applyBorder="1" applyAlignment="1" applyProtection="1">
      <alignment horizontal="left"/>
      <protection/>
    </xf>
    <xf numFmtId="0" fontId="3" fillId="40" borderId="76" xfId="0" applyFont="1" applyFill="1" applyBorder="1" applyAlignment="1" applyProtection="1">
      <alignment horizontal="left"/>
      <protection/>
    </xf>
    <xf numFmtId="0" fontId="3" fillId="40" borderId="89" xfId="0" applyFont="1" applyFill="1" applyBorder="1" applyAlignment="1" applyProtection="1">
      <alignment horizontal="left"/>
      <protection/>
    </xf>
    <xf numFmtId="0" fontId="3" fillId="40" borderId="90" xfId="0" applyFont="1" applyFill="1" applyBorder="1" applyAlignment="1" applyProtection="1">
      <alignment horizontal="left"/>
      <protection/>
    </xf>
    <xf numFmtId="0" fontId="7" fillId="40" borderId="0" xfId="0" applyFont="1" applyFill="1" applyBorder="1" applyAlignment="1" applyProtection="1">
      <alignment horizontal="left"/>
      <protection/>
    </xf>
    <xf numFmtId="0" fontId="0" fillId="40" borderId="10" xfId="0" applyFont="1" applyFill="1" applyBorder="1" applyAlignment="1" applyProtection="1">
      <alignment horizontal="left"/>
      <protection/>
    </xf>
    <xf numFmtId="170" fontId="0" fillId="40" borderId="12" xfId="0" applyNumberFormat="1" applyFill="1" applyBorder="1" applyAlignment="1" applyProtection="1">
      <alignment horizontal="center"/>
      <protection/>
    </xf>
    <xf numFmtId="170" fontId="0" fillId="40" borderId="0" xfId="0" applyNumberFormat="1" applyFill="1" applyAlignment="1" applyProtection="1">
      <alignment horizontal="center"/>
      <protection/>
    </xf>
    <xf numFmtId="0" fontId="3" fillId="40" borderId="52" xfId="0" applyFont="1" applyFill="1" applyBorder="1" applyAlignment="1" applyProtection="1">
      <alignment horizontal="center"/>
      <protection/>
    </xf>
    <xf numFmtId="0" fontId="3" fillId="40" borderId="43" xfId="0" applyFont="1" applyFill="1" applyBorder="1" applyAlignment="1" applyProtection="1">
      <alignment horizontal="center"/>
      <protection/>
    </xf>
    <xf numFmtId="0" fontId="4" fillId="40" borderId="0" xfId="0" applyFont="1" applyFill="1" applyBorder="1" applyAlignment="1" applyProtection="1">
      <alignment horizontal="center" wrapText="1"/>
      <protection/>
    </xf>
    <xf numFmtId="183" fontId="33" fillId="35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7" fillId="0" borderId="52" xfId="0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7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left" vertical="top"/>
    </xf>
    <xf numFmtId="183" fontId="26" fillId="0" borderId="66" xfId="0" applyNumberFormat="1" applyFont="1" applyFill="1" applyBorder="1" applyAlignment="1">
      <alignment horizontal="left" vertical="top" wrapText="1"/>
    </xf>
    <xf numFmtId="183" fontId="26" fillId="0" borderId="67" xfId="0" applyNumberFormat="1" applyFont="1" applyFill="1" applyBorder="1" applyAlignment="1">
      <alignment horizontal="left" vertical="top" wrapText="1"/>
    </xf>
    <xf numFmtId="183" fontId="26" fillId="0" borderId="91" xfId="0" applyNumberFormat="1" applyFont="1" applyFill="1" applyBorder="1" applyAlignment="1">
      <alignment horizontal="left" vertical="top" wrapText="1"/>
    </xf>
    <xf numFmtId="183" fontId="26" fillId="0" borderId="59" xfId="0" applyNumberFormat="1" applyFont="1" applyFill="1" applyBorder="1" applyAlignment="1">
      <alignment horizontal="left" vertical="top" wrapText="1"/>
    </xf>
    <xf numFmtId="183" fontId="26" fillId="0" borderId="92" xfId="0" applyNumberFormat="1" applyFont="1" applyFill="1" applyBorder="1" applyAlignment="1">
      <alignment horizontal="left" vertical="top" wrapText="1"/>
    </xf>
    <xf numFmtId="183" fontId="26" fillId="0" borderId="93" xfId="0" applyNumberFormat="1" applyFont="1" applyFill="1" applyBorder="1" applyAlignment="1">
      <alignment horizontal="left" vertical="top" wrapText="1"/>
    </xf>
    <xf numFmtId="0" fontId="20" fillId="0" borderId="52" xfId="0" applyFont="1" applyFill="1" applyBorder="1" applyAlignment="1">
      <alignment horizontal="center" vertical="top"/>
    </xf>
    <xf numFmtId="183" fontId="26" fillId="39" borderId="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43" xfId="0" applyFont="1" applyFill="1" applyBorder="1" applyAlignment="1">
      <alignment horizontal="left"/>
    </xf>
    <xf numFmtId="0" fontId="29" fillId="0" borderId="94" xfId="0" applyFont="1" applyFill="1" applyBorder="1" applyAlignment="1">
      <alignment horizontal="left"/>
    </xf>
    <xf numFmtId="0" fontId="29" fillId="0" borderId="95" xfId="0" applyFont="1" applyFill="1" applyBorder="1" applyAlignment="1">
      <alignment horizontal="left" vertical="center" wrapText="1"/>
    </xf>
    <xf numFmtId="0" fontId="29" fillId="0" borderId="96" xfId="0" applyFont="1" applyFill="1" applyBorder="1" applyAlignment="1">
      <alignment horizontal="left" vertical="center" wrapText="1"/>
    </xf>
    <xf numFmtId="0" fontId="29" fillId="0" borderId="97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8" xfId="0" applyFont="1" applyFill="1" applyBorder="1" applyAlignment="1">
      <alignment horizontal="left" vertical="center" wrapText="1"/>
    </xf>
    <xf numFmtId="0" fontId="29" fillId="0" borderId="52" xfId="0" applyFont="1" applyBorder="1" applyAlignment="1">
      <alignment horizontal="left"/>
    </xf>
    <xf numFmtId="0" fontId="29" fillId="0" borderId="45" xfId="0" applyFont="1" applyBorder="1" applyAlignment="1">
      <alignment horizontal="left" wrapText="1"/>
    </xf>
    <xf numFmtId="0" fontId="29" fillId="0" borderId="46" xfId="0" applyFont="1" applyBorder="1" applyAlignment="1">
      <alignment horizontal="left" wrapText="1"/>
    </xf>
    <xf numFmtId="0" fontId="29" fillId="0" borderId="47" xfId="0" applyFont="1" applyBorder="1" applyAlignment="1">
      <alignment horizontal="left" wrapText="1"/>
    </xf>
    <xf numFmtId="0" fontId="29" fillId="0" borderId="45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45" xfId="0" applyFont="1" applyFill="1" applyBorder="1" applyAlignment="1">
      <alignment horizontal="left" wrapText="1"/>
    </xf>
    <xf numFmtId="0" fontId="29" fillId="0" borderId="46" xfId="0" applyFont="1" applyFill="1" applyBorder="1" applyAlignment="1">
      <alignment horizontal="left" wrapText="1"/>
    </xf>
    <xf numFmtId="0" fontId="29" fillId="0" borderId="47" xfId="0" applyFont="1" applyFill="1" applyBorder="1" applyAlignment="1">
      <alignment horizontal="left" wrapText="1"/>
    </xf>
    <xf numFmtId="0" fontId="30" fillId="0" borderId="45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29" fillId="0" borderId="99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9" fillId="0" borderId="99" xfId="0" applyFont="1" applyFill="1" applyBorder="1" applyAlignment="1">
      <alignment horizontal="left"/>
    </xf>
    <xf numFmtId="0" fontId="29" fillId="0" borderId="46" xfId="0" applyFont="1" applyFill="1" applyBorder="1" applyAlignment="1">
      <alignment horizontal="left"/>
    </xf>
    <xf numFmtId="0" fontId="29" fillId="0" borderId="47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45" xfId="0" applyFont="1" applyFill="1" applyBorder="1" applyAlignment="1">
      <alignment horizontal="left" wrapText="1"/>
    </xf>
    <xf numFmtId="0" fontId="30" fillId="0" borderId="46" xfId="0" applyFont="1" applyFill="1" applyBorder="1" applyAlignment="1">
      <alignment horizontal="left" wrapText="1"/>
    </xf>
    <xf numFmtId="0" fontId="30" fillId="0" borderId="47" xfId="0" applyFont="1" applyFill="1" applyBorder="1" applyAlignment="1">
      <alignment horizontal="left" wrapText="1"/>
    </xf>
    <xf numFmtId="0" fontId="30" fillId="36" borderId="52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left"/>
    </xf>
    <xf numFmtId="0" fontId="29" fillId="40" borderId="45" xfId="0" applyFont="1" applyFill="1" applyBorder="1" applyAlignment="1">
      <alignment horizontal="left"/>
    </xf>
    <xf numFmtId="0" fontId="29" fillId="40" borderId="46" xfId="0" applyFont="1" applyFill="1" applyBorder="1" applyAlignment="1">
      <alignment horizontal="left"/>
    </xf>
    <xf numFmtId="0" fontId="29" fillId="40" borderId="47" xfId="0" applyFont="1" applyFill="1" applyBorder="1" applyAlignment="1">
      <alignment horizontal="left"/>
    </xf>
    <xf numFmtId="49" fontId="29" fillId="33" borderId="45" xfId="0" applyNumberFormat="1" applyFont="1" applyFill="1" applyBorder="1" applyAlignment="1">
      <alignment horizontal="left"/>
    </xf>
    <xf numFmtId="49" fontId="29" fillId="33" borderId="46" xfId="0" applyNumberFormat="1" applyFont="1" applyFill="1" applyBorder="1" applyAlignment="1">
      <alignment horizontal="left"/>
    </xf>
    <xf numFmtId="49" fontId="29" fillId="33" borderId="47" xfId="0" applyNumberFormat="1" applyFont="1" applyFill="1" applyBorder="1" applyAlignment="1">
      <alignment horizontal="left"/>
    </xf>
    <xf numFmtId="0" fontId="29" fillId="0" borderId="52" xfId="0" applyFont="1" applyBorder="1" applyAlignment="1">
      <alignment horizontal="center" wrapText="1"/>
    </xf>
    <xf numFmtId="0" fontId="30" fillId="36" borderId="45" xfId="0" applyFont="1" applyFill="1" applyBorder="1" applyAlignment="1">
      <alignment horizontal="left" vertical="center" wrapText="1"/>
    </xf>
    <xf numFmtId="0" fontId="30" fillId="36" borderId="46" xfId="0" applyFont="1" applyFill="1" applyBorder="1" applyAlignment="1">
      <alignment horizontal="left" vertical="center" wrapText="1"/>
    </xf>
    <xf numFmtId="0" fontId="30" fillId="36" borderId="47" xfId="0" applyFont="1" applyFill="1" applyBorder="1" applyAlignment="1">
      <alignment horizontal="left" vertical="center" wrapText="1"/>
    </xf>
    <xf numFmtId="49" fontId="29" fillId="33" borderId="12" xfId="0" applyNumberFormat="1" applyFont="1" applyFill="1" applyBorder="1" applyAlignment="1">
      <alignment horizontal="left" wrapText="1"/>
    </xf>
    <xf numFmtId="49" fontId="29" fillId="33" borderId="0" xfId="0" applyNumberFormat="1" applyFont="1" applyFill="1" applyBorder="1" applyAlignment="1">
      <alignment horizontal="left" wrapText="1"/>
    </xf>
    <xf numFmtId="49" fontId="29" fillId="33" borderId="98" xfId="0" applyNumberFormat="1" applyFont="1" applyFill="1" applyBorder="1" applyAlignment="1">
      <alignment horizontal="left" wrapText="1"/>
    </xf>
    <xf numFmtId="49" fontId="29" fillId="0" borderId="45" xfId="0" applyNumberFormat="1" applyFont="1" applyFill="1" applyBorder="1" applyAlignment="1">
      <alignment horizontal="left" wrapText="1"/>
    </xf>
    <xf numFmtId="49" fontId="29" fillId="0" borderId="46" xfId="0" applyNumberFormat="1" applyFont="1" applyFill="1" applyBorder="1" applyAlignment="1">
      <alignment horizontal="left" wrapText="1"/>
    </xf>
    <xf numFmtId="49" fontId="29" fillId="0" borderId="47" xfId="0" applyNumberFormat="1" applyFont="1" applyFill="1" applyBorder="1" applyAlignment="1">
      <alignment horizontal="left" wrapText="1"/>
    </xf>
    <xf numFmtId="0" fontId="29" fillId="33" borderId="100" xfId="0" applyFont="1" applyFill="1" applyBorder="1" applyAlignment="1">
      <alignment horizontal="left" wrapText="1"/>
    </xf>
    <xf numFmtId="0" fontId="29" fillId="33" borderId="101" xfId="0" applyFont="1" applyFill="1" applyBorder="1" applyAlignment="1">
      <alignment horizontal="left" wrapText="1"/>
    </xf>
    <xf numFmtId="0" fontId="29" fillId="33" borderId="102" xfId="0" applyFont="1" applyFill="1" applyBorder="1" applyAlignment="1">
      <alignment horizontal="left" wrapText="1"/>
    </xf>
    <xf numFmtId="49" fontId="29" fillId="0" borderId="103" xfId="0" applyNumberFormat="1" applyFont="1" applyBorder="1" applyAlignment="1">
      <alignment horizontal="left" wrapText="1"/>
    </xf>
    <xf numFmtId="49" fontId="29" fillId="0" borderId="92" xfId="0" applyNumberFormat="1" applyFont="1" applyBorder="1" applyAlignment="1">
      <alignment horizontal="left" wrapText="1"/>
    </xf>
    <xf numFmtId="49" fontId="29" fillId="0" borderId="93" xfId="0" applyNumberFormat="1" applyFont="1" applyBorder="1" applyAlignment="1">
      <alignment horizontal="left" wrapText="1"/>
    </xf>
    <xf numFmtId="0" fontId="29" fillId="33" borderId="104" xfId="0" applyFont="1" applyFill="1" applyBorder="1" applyAlignment="1">
      <alignment horizontal="left" wrapText="1"/>
    </xf>
    <xf numFmtId="0" fontId="29" fillId="33" borderId="67" xfId="0" applyFont="1" applyFill="1" applyBorder="1" applyAlignment="1">
      <alignment horizontal="left" wrapText="1"/>
    </xf>
    <xf numFmtId="0" fontId="29" fillId="33" borderId="91" xfId="0" applyFont="1" applyFill="1" applyBorder="1" applyAlignment="1">
      <alignment horizontal="left" wrapText="1"/>
    </xf>
    <xf numFmtId="49" fontId="29" fillId="33" borderId="45" xfId="0" applyNumberFormat="1" applyFont="1" applyFill="1" applyBorder="1" applyAlignment="1">
      <alignment horizontal="left" wrapText="1"/>
    </xf>
    <xf numFmtId="49" fontId="29" fillId="33" borderId="46" xfId="0" applyNumberFormat="1" applyFont="1" applyFill="1" applyBorder="1" applyAlignment="1">
      <alignment horizontal="left" wrapText="1"/>
    </xf>
    <xf numFmtId="49" fontId="29" fillId="33" borderId="47" xfId="0" applyNumberFormat="1" applyFont="1" applyFill="1" applyBorder="1" applyAlignment="1">
      <alignment horizontal="left" wrapText="1"/>
    </xf>
    <xf numFmtId="0" fontId="29" fillId="0" borderId="100" xfId="0" applyFont="1" applyFill="1" applyBorder="1" applyAlignment="1">
      <alignment horizontal="left"/>
    </xf>
    <xf numFmtId="0" fontId="29" fillId="0" borderId="101" xfId="0" applyFont="1" applyFill="1" applyBorder="1" applyAlignment="1">
      <alignment horizontal="left"/>
    </xf>
    <xf numFmtId="0" fontId="29" fillId="0" borderId="102" xfId="0" applyFont="1" applyFill="1" applyBorder="1" applyAlignment="1">
      <alignment horizontal="left"/>
    </xf>
    <xf numFmtId="49" fontId="29" fillId="0" borderId="41" xfId="0" applyNumberFormat="1" applyFont="1" applyFill="1" applyBorder="1" applyAlignment="1">
      <alignment horizontal="left" wrapText="1"/>
    </xf>
    <xf numFmtId="49" fontId="29" fillId="0" borderId="42" xfId="0" applyNumberFormat="1" applyFont="1" applyFill="1" applyBorder="1" applyAlignment="1">
      <alignment horizontal="left" wrapText="1"/>
    </xf>
    <xf numFmtId="49" fontId="29" fillId="33" borderId="52" xfId="0" applyNumberFormat="1" applyFont="1" applyFill="1" applyBorder="1" applyAlignment="1">
      <alignment horizontal="left"/>
    </xf>
    <xf numFmtId="0" fontId="30" fillId="0" borderId="52" xfId="0" applyFont="1" applyBorder="1" applyAlignment="1">
      <alignment horizontal="center"/>
    </xf>
    <xf numFmtId="49" fontId="29" fillId="0" borderId="24" xfId="0" applyNumberFormat="1" applyFont="1" applyBorder="1" applyAlignment="1">
      <alignment vertical="center"/>
    </xf>
    <xf numFmtId="49" fontId="29" fillId="0" borderId="10" xfId="0" applyNumberFormat="1" applyFont="1" applyBorder="1" applyAlignment="1">
      <alignment vertical="center"/>
    </xf>
    <xf numFmtId="0" fontId="29" fillId="33" borderId="105" xfId="0" applyFont="1" applyFill="1" applyBorder="1" applyAlignment="1">
      <alignment horizontal="left" vertical="center" wrapText="1"/>
    </xf>
    <xf numFmtId="0" fontId="29" fillId="33" borderId="24" xfId="0" applyFont="1" applyFill="1" applyBorder="1" applyAlignment="1">
      <alignment horizontal="left" vertical="center" wrapText="1"/>
    </xf>
    <xf numFmtId="2" fontId="29" fillId="0" borderId="52" xfId="0" applyNumberFormat="1" applyFont="1" applyFill="1" applyBorder="1" applyAlignment="1">
      <alignment horizontal="right"/>
    </xf>
    <xf numFmtId="49" fontId="29" fillId="0" borderId="52" xfId="0" applyNumberFormat="1" applyFont="1" applyBorder="1" applyAlignment="1">
      <alignment vertical="center"/>
    </xf>
    <xf numFmtId="0" fontId="29" fillId="33" borderId="63" xfId="0" applyFont="1" applyFill="1" applyBorder="1" applyAlignment="1">
      <alignment horizontal="left" vertical="center" wrapText="1"/>
    </xf>
    <xf numFmtId="0" fontId="29" fillId="33" borderId="53" xfId="0" applyFont="1" applyFill="1" applyBorder="1" applyAlignment="1">
      <alignment horizontal="left" vertical="center" wrapText="1"/>
    </xf>
    <xf numFmtId="0" fontId="29" fillId="0" borderId="52" xfId="0" applyFont="1" applyFill="1" applyBorder="1" applyAlignment="1">
      <alignment horizontal="right"/>
    </xf>
    <xf numFmtId="49" fontId="29" fillId="33" borderId="104" xfId="0" applyNumberFormat="1" applyFont="1" applyFill="1" applyBorder="1" applyAlignment="1">
      <alignment horizontal="left" wrapText="1"/>
    </xf>
    <xf numFmtId="49" fontId="29" fillId="33" borderId="67" xfId="0" applyNumberFormat="1" applyFont="1" applyFill="1" applyBorder="1" applyAlignment="1">
      <alignment horizontal="left" wrapText="1"/>
    </xf>
    <xf numFmtId="49" fontId="29" fillId="33" borderId="91" xfId="0" applyNumberFormat="1" applyFont="1" applyFill="1" applyBorder="1" applyAlignment="1">
      <alignment horizontal="left" wrapText="1"/>
    </xf>
    <xf numFmtId="0" fontId="29" fillId="36" borderId="45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29" fillId="0" borderId="11" xfId="0" applyNumberFormat="1" applyFont="1" applyFill="1" applyBorder="1" applyAlignment="1">
      <alignment horizontal="left" wrapText="1"/>
    </xf>
    <xf numFmtId="49" fontId="29" fillId="0" borderId="43" xfId="0" applyNumberFormat="1" applyFont="1" applyFill="1" applyBorder="1" applyAlignment="1">
      <alignment horizontal="left" wrapText="1"/>
    </xf>
    <xf numFmtId="49" fontId="29" fillId="0" borderId="94" xfId="0" applyNumberFormat="1" applyFont="1" applyFill="1" applyBorder="1" applyAlignment="1">
      <alignment horizontal="left" wrapText="1"/>
    </xf>
    <xf numFmtId="49" fontId="29" fillId="0" borderId="17" xfId="0" applyNumberFormat="1" applyFont="1" applyBorder="1" applyAlignment="1">
      <alignment vertical="center"/>
    </xf>
    <xf numFmtId="0" fontId="29" fillId="33" borderId="41" xfId="0" applyFont="1" applyFill="1" applyBorder="1" applyAlignment="1">
      <alignment horizontal="left" vertical="center"/>
    </xf>
    <xf numFmtId="0" fontId="29" fillId="33" borderId="16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9" fillId="33" borderId="36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right"/>
    </xf>
    <xf numFmtId="0" fontId="29" fillId="0" borderId="106" xfId="0" applyFont="1" applyFill="1" applyBorder="1" applyAlignment="1">
      <alignment horizontal="right"/>
    </xf>
    <xf numFmtId="0" fontId="29" fillId="0" borderId="52" xfId="0" applyFont="1" applyFill="1" applyBorder="1" applyAlignment="1">
      <alignment horizontal="left" vertical="center"/>
    </xf>
    <xf numFmtId="49" fontId="29" fillId="0" borderId="12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wrapText="1"/>
    </xf>
    <xf numFmtId="49" fontId="29" fillId="0" borderId="98" xfId="0" applyNumberFormat="1" applyFont="1" applyFill="1" applyBorder="1" applyAlignment="1">
      <alignment horizontal="left" wrapText="1"/>
    </xf>
    <xf numFmtId="0" fontId="29" fillId="0" borderId="41" xfId="0" applyFont="1" applyFill="1" applyBorder="1" applyAlignment="1">
      <alignment horizontal="left"/>
    </xf>
    <xf numFmtId="0" fontId="29" fillId="0" borderId="42" xfId="0" applyFont="1" applyFill="1" applyBorder="1" applyAlignment="1">
      <alignment horizontal="left"/>
    </xf>
    <xf numFmtId="0" fontId="29" fillId="0" borderId="107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 wrapText="1"/>
    </xf>
    <xf numFmtId="0" fontId="29" fillId="0" borderId="47" xfId="0" applyFont="1" applyFill="1" applyBorder="1" applyAlignment="1">
      <alignment horizontal="left" vertical="center" wrapText="1"/>
    </xf>
    <xf numFmtId="49" fontId="29" fillId="0" borderId="45" xfId="0" applyNumberFormat="1" applyFont="1" applyFill="1" applyBorder="1" applyAlignment="1">
      <alignment horizontal="left"/>
    </xf>
    <xf numFmtId="49" fontId="29" fillId="0" borderId="46" xfId="0" applyNumberFormat="1" applyFont="1" applyFill="1" applyBorder="1" applyAlignment="1">
      <alignment horizontal="left"/>
    </xf>
    <xf numFmtId="49" fontId="29" fillId="0" borderId="47" xfId="0" applyNumberFormat="1" applyFont="1" applyFill="1" applyBorder="1" applyAlignment="1">
      <alignment horizontal="left"/>
    </xf>
    <xf numFmtId="49" fontId="29" fillId="0" borderId="52" xfId="0" applyNumberFormat="1" applyFont="1" applyFill="1" applyBorder="1" applyAlignment="1">
      <alignment horizontal="left" wrapText="1"/>
    </xf>
    <xf numFmtId="49" fontId="29" fillId="0" borderId="12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29" fillId="0" borderId="98" xfId="0" applyNumberFormat="1" applyFont="1" applyFill="1" applyBorder="1" applyAlignment="1">
      <alignment horizontal="left"/>
    </xf>
    <xf numFmtId="0" fontId="29" fillId="0" borderId="45" xfId="0" applyFont="1" applyFill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left"/>
    </xf>
    <xf numFmtId="0" fontId="30" fillId="0" borderId="52" xfId="0" applyFont="1" applyFill="1" applyBorder="1" applyAlignment="1">
      <alignment horizontal="center"/>
    </xf>
    <xf numFmtId="49" fontId="29" fillId="33" borderId="99" xfId="0" applyNumberFormat="1" applyFont="1" applyFill="1" applyBorder="1" applyAlignment="1">
      <alignment horizontal="left" wrapText="1"/>
    </xf>
    <xf numFmtId="49" fontId="29" fillId="0" borderId="52" xfId="0" applyNumberFormat="1" applyFont="1" applyFill="1" applyBorder="1" applyAlignment="1">
      <alignment horizontal="left"/>
    </xf>
    <xf numFmtId="0" fontId="29" fillId="36" borderId="45" xfId="0" applyFont="1" applyFill="1" applyBorder="1" applyAlignment="1">
      <alignment horizontal="left" vertical="center" wrapText="1"/>
    </xf>
    <xf numFmtId="0" fontId="29" fillId="36" borderId="46" xfId="0" applyFont="1" applyFill="1" applyBorder="1" applyAlignment="1">
      <alignment horizontal="left" vertical="center" wrapText="1"/>
    </xf>
    <xf numFmtId="0" fontId="29" fillId="36" borderId="47" xfId="0" applyFont="1" applyFill="1" applyBorder="1" applyAlignment="1">
      <alignment horizontal="left" vertical="center" wrapText="1"/>
    </xf>
    <xf numFmtId="0" fontId="29" fillId="40" borderId="45" xfId="0" applyFont="1" applyFill="1" applyBorder="1" applyAlignment="1">
      <alignment horizontal="left" vertical="center" wrapText="1"/>
    </xf>
    <xf numFmtId="0" fontId="29" fillId="40" borderId="46" xfId="0" applyFont="1" applyFill="1" applyBorder="1" applyAlignment="1">
      <alignment horizontal="left" vertical="center" wrapText="1"/>
    </xf>
    <xf numFmtId="0" fontId="29" fillId="40" borderId="47" xfId="0" applyFont="1" applyFill="1" applyBorder="1" applyAlignment="1">
      <alignment horizontal="left" vertical="center" wrapText="1"/>
    </xf>
    <xf numFmtId="0" fontId="29" fillId="36" borderId="45" xfId="0" applyFont="1" applyFill="1" applyBorder="1" applyAlignment="1">
      <alignment horizontal="center" vertical="center"/>
    </xf>
    <xf numFmtId="0" fontId="29" fillId="36" borderId="46" xfId="0" applyFont="1" applyFill="1" applyBorder="1" applyAlignment="1">
      <alignment horizontal="center" vertical="center"/>
    </xf>
    <xf numFmtId="0" fontId="29" fillId="36" borderId="47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171" fontId="29" fillId="0" borderId="63" xfId="50" applyFont="1" applyFill="1" applyBorder="1" applyAlignment="1">
      <alignment horizontal="center" wrapText="1"/>
    </xf>
    <xf numFmtId="171" fontId="29" fillId="0" borderId="53" xfId="5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left" vertical="center" wrapText="1"/>
    </xf>
    <xf numFmtId="0" fontId="0" fillId="0" borderId="110" xfId="0" applyFont="1" applyFill="1" applyBorder="1" applyAlignment="1">
      <alignment horizontal="left" vertical="center" wrapText="1"/>
    </xf>
    <xf numFmtId="0" fontId="0" fillId="0" borderId="111" xfId="0" applyFont="1" applyFill="1" applyBorder="1" applyAlignment="1">
      <alignment horizontal="left" vertical="center" wrapText="1"/>
    </xf>
    <xf numFmtId="0" fontId="0" fillId="0" borderId="112" xfId="0" applyFont="1" applyFill="1" applyBorder="1" applyAlignment="1">
      <alignment horizontal="left" vertical="center" wrapText="1"/>
    </xf>
    <xf numFmtId="0" fontId="3" fillId="0" borderId="113" xfId="0" applyFont="1" applyFill="1" applyBorder="1" applyAlignment="1">
      <alignment horizontal="left" wrapText="1"/>
    </xf>
    <xf numFmtId="0" fontId="3" fillId="0" borderId="114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171" fontId="0" fillId="35" borderId="115" xfId="50" applyFill="1" applyBorder="1" applyAlignment="1" applyProtection="1">
      <alignment vertical="center" wrapText="1"/>
      <protection locked="0"/>
    </xf>
    <xf numFmtId="171" fontId="0" fillId="35" borderId="116" xfId="50" applyFill="1" applyBorder="1" applyAlignment="1" applyProtection="1">
      <alignment vertical="center" wrapText="1"/>
      <protection locked="0"/>
    </xf>
    <xf numFmtId="171" fontId="0" fillId="35" borderId="117" xfId="50" applyFill="1" applyBorder="1" applyAlignment="1" applyProtection="1">
      <alignment vertical="center" wrapText="1"/>
      <protection locked="0"/>
    </xf>
    <xf numFmtId="171" fontId="0" fillId="35" borderId="118" xfId="50" applyFill="1" applyBorder="1" applyAlignment="1" applyProtection="1">
      <alignment vertical="center" wrapText="1"/>
      <protection locked="0"/>
    </xf>
    <xf numFmtId="0" fontId="3" fillId="34" borderId="119" xfId="0" applyFont="1" applyFill="1" applyBorder="1" applyAlignment="1">
      <alignment horizontal="left" wrapText="1"/>
    </xf>
    <xf numFmtId="0" fontId="3" fillId="34" borderId="12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34" borderId="121" xfId="0" applyFont="1" applyFill="1" applyBorder="1" applyAlignment="1">
      <alignment horizontal="center" wrapText="1"/>
    </xf>
    <xf numFmtId="0" fontId="3" fillId="34" borderId="122" xfId="0" applyFont="1" applyFill="1" applyBorder="1" applyAlignment="1">
      <alignment horizontal="left" wrapText="1"/>
    </xf>
    <xf numFmtId="171" fontId="14" fillId="0" borderId="10" xfId="5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171" fontId="3" fillId="0" borderId="38" xfId="50" applyFont="1" applyFill="1" applyBorder="1" applyAlignment="1" applyProtection="1">
      <alignment horizontal="center"/>
      <protection/>
    </xf>
    <xf numFmtId="171" fontId="3" fillId="0" borderId="27" xfId="50" applyFont="1" applyFill="1" applyBorder="1" applyAlignment="1" applyProtection="1">
      <alignment horizontal="center"/>
      <protection/>
    </xf>
    <xf numFmtId="171" fontId="0" fillId="0" borderId="38" xfId="50" applyFill="1" applyBorder="1" applyAlignment="1" applyProtection="1">
      <alignment horizontal="center"/>
      <protection/>
    </xf>
    <xf numFmtId="171" fontId="0" fillId="0" borderId="27" xfId="50" applyFill="1" applyBorder="1" applyAlignment="1" applyProtection="1">
      <alignment horizontal="center"/>
      <protection/>
    </xf>
    <xf numFmtId="0" fontId="5" fillId="0" borderId="53" xfId="0" applyFont="1" applyBorder="1" applyAlignment="1">
      <alignment horizontal="left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34" borderId="37" xfId="0" applyFont="1" applyFill="1" applyBorder="1" applyAlignment="1">
      <alignment horizontal="center" vertical="center" wrapText="1"/>
    </xf>
    <xf numFmtId="0" fontId="3" fillId="34" borderId="124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5" fillId="0" borderId="52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63" xfId="0" applyFont="1" applyBorder="1" applyAlignment="1">
      <alignment horizontal="left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left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5" fillId="0" borderId="66" xfId="0" applyFont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0" fontId="3" fillId="0" borderId="75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06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06" xfId="0" applyFont="1" applyBorder="1" applyAlignment="1">
      <alignment horizontal="left" wrapText="1"/>
    </xf>
    <xf numFmtId="171" fontId="0" fillId="35" borderId="10" xfId="50" applyFont="1" applyFill="1" applyBorder="1" applyAlignment="1" applyProtection="1">
      <alignment horizontal="center"/>
      <protection/>
    </xf>
    <xf numFmtId="171" fontId="0" fillId="0" borderId="10" xfId="5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71" fontId="0" fillId="35" borderId="10" xfId="50" applyFont="1" applyFill="1" applyBorder="1" applyAlignment="1" applyProtection="1">
      <alignment horizontal="center"/>
      <protection locked="0"/>
    </xf>
    <xf numFmtId="171" fontId="0" fillId="0" borderId="10" xfId="50" applyFont="1" applyFill="1" applyBorder="1" applyAlignment="1" applyProtection="1">
      <alignment horizontal="left"/>
      <protection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_BuiltIn_Currency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 3" xfId="54"/>
    <cellStyle name="Normal 4" xfId="55"/>
    <cellStyle name="Nota" xfId="56"/>
    <cellStyle name="Percent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ítulo 6" xfId="69"/>
    <cellStyle name="Título 7" xfId="70"/>
    <cellStyle name="Título 8" xfId="71"/>
    <cellStyle name="Total" xfId="72"/>
    <cellStyle name="Vírgula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28575</xdr:rowOff>
    </xdr:from>
    <xdr:to>
      <xdr:col>4</xdr:col>
      <xdr:colOff>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050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ssadmin.sefin.fortaleza.ce.gov.br/grpfor/pagesPublic/atividadeCPBS/consultarAtividadeCPBS.sea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52"/>
  <sheetViews>
    <sheetView view="pageBreakPreview" zoomScale="95" zoomScaleNormal="95" zoomScaleSheetLayoutView="95" workbookViewId="0" topLeftCell="A3">
      <selection activeCell="C23" sqref="C23:O24"/>
    </sheetView>
  </sheetViews>
  <sheetFormatPr defaultColWidth="9.140625" defaultRowHeight="12.75"/>
  <cols>
    <col min="1" max="1" width="9.140625" style="1" customWidth="1"/>
    <col min="2" max="2" width="3.00390625" style="1" customWidth="1"/>
    <col min="3" max="16384" width="9.140625" style="1" customWidth="1"/>
  </cols>
  <sheetData>
    <row r="3" ht="15.75">
      <c r="F3" s="2" t="s">
        <v>212</v>
      </c>
    </row>
    <row r="4" ht="15.75">
      <c r="F4" s="2" t="s">
        <v>213</v>
      </c>
    </row>
    <row r="5" ht="15.75">
      <c r="F5" s="2" t="s">
        <v>214</v>
      </c>
    </row>
    <row r="7" ht="15.75">
      <c r="F7" s="2" t="s">
        <v>215</v>
      </c>
    </row>
    <row r="10" ht="12.75">
      <c r="B10" s="3" t="s">
        <v>216</v>
      </c>
    </row>
    <row r="12" spans="2:3" ht="12.75">
      <c r="B12" s="1" t="s">
        <v>217</v>
      </c>
      <c r="C12" s="3" t="s">
        <v>218</v>
      </c>
    </row>
    <row r="14" spans="2:3" ht="12.75">
      <c r="B14" s="1" t="s">
        <v>219</v>
      </c>
      <c r="C14" s="1" t="s">
        <v>220</v>
      </c>
    </row>
    <row r="16" spans="2:3" ht="12.75">
      <c r="B16" s="1" t="s">
        <v>221</v>
      </c>
      <c r="C16" s="1" t="s">
        <v>1060</v>
      </c>
    </row>
    <row r="18" ht="12.75">
      <c r="B18" s="1" t="s">
        <v>222</v>
      </c>
    </row>
    <row r="20" spans="3:15" ht="12.75" customHeight="1">
      <c r="C20" s="510" t="s">
        <v>1070</v>
      </c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</row>
    <row r="21" spans="3:15" ht="12.75"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</row>
    <row r="22" spans="3:15" ht="12.75"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</row>
    <row r="23" spans="3:15" ht="12.75" customHeight="1">
      <c r="C23" s="510" t="s">
        <v>1071</v>
      </c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</row>
    <row r="24" spans="3:15" ht="14.25" customHeight="1"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</row>
    <row r="25" spans="3:15" ht="14.25" customHeight="1"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</row>
    <row r="26" spans="3:15" ht="64.5" customHeight="1">
      <c r="C26" s="510" t="s">
        <v>1072</v>
      </c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</row>
    <row r="27" spans="3:15" ht="12.75" customHeight="1"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</row>
    <row r="28" spans="3:15" ht="12.75" customHeight="1">
      <c r="C28" s="510" t="s">
        <v>1042</v>
      </c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</row>
    <row r="29" spans="3:15" ht="12.75"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</row>
    <row r="30" spans="3:15" ht="12.75"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</row>
    <row r="31" spans="3:15" ht="12.75"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</row>
    <row r="32" spans="3:15" ht="11.25" customHeight="1">
      <c r="C32" s="510" t="s">
        <v>21</v>
      </c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</row>
    <row r="33" spans="3:15" ht="12.75"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</row>
    <row r="34" spans="3:15" ht="12.75"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</row>
    <row r="35" spans="3:15" ht="12.75"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</row>
    <row r="37" spans="3:15" ht="12.75" customHeight="1">
      <c r="C37" s="510" t="s">
        <v>22</v>
      </c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</row>
    <row r="38" spans="3:15" ht="12.75"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</row>
    <row r="39" spans="3:15" ht="12.75"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</row>
    <row r="40" spans="3:15" ht="12.75"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</row>
    <row r="41" spans="3:15" ht="12.75">
      <c r="C41" s="510" t="s">
        <v>1065</v>
      </c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</row>
    <row r="42" spans="3:15" ht="12.75"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</row>
    <row r="43" spans="3:15" ht="12.75"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</row>
    <row r="44" spans="3:15" ht="12.75" customHeight="1">
      <c r="C44" s="510" t="s">
        <v>1066</v>
      </c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</row>
    <row r="45" spans="3:15" ht="12.75"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</row>
    <row r="46" spans="3:15" ht="12.75"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</row>
    <row r="47" spans="3:15" ht="28.5" customHeight="1">
      <c r="C47" s="511" t="s">
        <v>715</v>
      </c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</row>
    <row r="49" spans="3:14" ht="12.75">
      <c r="C49" s="3" t="s">
        <v>713</v>
      </c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</row>
    <row r="50" spans="3:6" ht="12.75">
      <c r="C50" s="441" t="s">
        <v>1038</v>
      </c>
      <c r="D50" s="255"/>
      <c r="E50" s="255"/>
      <c r="F50" s="255"/>
    </row>
    <row r="51" spans="3:6" ht="12.75">
      <c r="C51" s="441" t="s">
        <v>1022</v>
      </c>
      <c r="D51" s="255"/>
      <c r="E51" s="255"/>
      <c r="F51" s="255"/>
    </row>
    <row r="52" spans="3:6" ht="12.75">
      <c r="C52" s="441" t="s">
        <v>1032</v>
      </c>
      <c r="D52" s="255"/>
      <c r="E52" s="255"/>
      <c r="F52" s="255"/>
    </row>
  </sheetData>
  <sheetProtection selectLockedCells="1" selectUnlockedCells="1"/>
  <mergeCells count="10">
    <mergeCell ref="C26:O26"/>
    <mergeCell ref="C47:O47"/>
    <mergeCell ref="C20:O22"/>
    <mergeCell ref="C28:O31"/>
    <mergeCell ref="C32:O35"/>
    <mergeCell ref="C37:O40"/>
    <mergeCell ref="C44:O45"/>
    <mergeCell ref="C27:O27"/>
    <mergeCell ref="C41:O42"/>
    <mergeCell ref="C23:O24"/>
  </mergeCells>
  <printOptions/>
  <pageMargins left="0.7479166666666667" right="0.7479166666666667" top="0.9840277777777777" bottom="0.9840277777777777" header="0.5118055555555555" footer="0.5118055555555555"/>
  <pageSetup orientation="landscape" paperSize="9" scale="90" r:id="rId2"/>
  <rowBreaks count="1" manualBreakCount="1">
    <brk id="32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9"/>
  <sheetViews>
    <sheetView view="pageBreakPreview" zoomScaleSheetLayoutView="100" zoomScalePageLayoutView="0" workbookViewId="0" topLeftCell="A1">
      <selection activeCell="F16" sqref="F16"/>
    </sheetView>
  </sheetViews>
  <sheetFormatPr defaultColWidth="12.28125" defaultRowHeight="12.75"/>
  <cols>
    <col min="1" max="1" width="4.7109375" style="0" bestFit="1" customWidth="1"/>
    <col min="2" max="2" width="7.8515625" style="0" bestFit="1" customWidth="1"/>
    <col min="3" max="3" width="7.7109375" style="0" customWidth="1"/>
    <col min="4" max="4" width="62.421875" style="0" customWidth="1"/>
    <col min="5" max="5" width="4.8515625" style="0" bestFit="1" customWidth="1"/>
    <col min="6" max="6" width="7.57421875" style="0" customWidth="1"/>
    <col min="7" max="7" width="11.28125" style="0" bestFit="1" customWidth="1"/>
  </cols>
  <sheetData>
    <row r="2" spans="1:9" ht="12.75">
      <c r="A2" s="714" t="s">
        <v>1064</v>
      </c>
      <c r="B2" s="714"/>
      <c r="C2" s="714"/>
      <c r="D2" s="714"/>
      <c r="E2" s="714"/>
      <c r="F2" s="714"/>
      <c r="G2" s="714"/>
      <c r="H2" s="714"/>
      <c r="I2" s="714"/>
    </row>
    <row r="3" ht="13.5" thickBot="1"/>
    <row r="4" spans="1:9" ht="33.75" thickBot="1">
      <c r="A4" s="201" t="s">
        <v>223</v>
      </c>
      <c r="B4" s="202" t="s">
        <v>650</v>
      </c>
      <c r="C4" s="203" t="s">
        <v>651</v>
      </c>
      <c r="D4" s="204" t="s">
        <v>652</v>
      </c>
      <c r="E4" s="204" t="s">
        <v>653</v>
      </c>
      <c r="F4" s="204" t="s">
        <v>654</v>
      </c>
      <c r="G4" s="204" t="s">
        <v>655</v>
      </c>
      <c r="H4" s="205" t="s">
        <v>656</v>
      </c>
      <c r="I4" s="206" t="s">
        <v>657</v>
      </c>
    </row>
    <row r="5" spans="1:9" ht="49.5">
      <c r="A5" s="207">
        <v>1</v>
      </c>
      <c r="B5" s="208"/>
      <c r="C5" s="208"/>
      <c r="D5" s="209" t="s">
        <v>675</v>
      </c>
      <c r="E5" s="210"/>
      <c r="F5" s="210"/>
      <c r="G5" s="210"/>
      <c r="H5" s="211"/>
      <c r="I5" s="212"/>
    </row>
    <row r="6" spans="1:9" ht="16.5">
      <c r="A6" s="213" t="s">
        <v>555</v>
      </c>
      <c r="B6" s="214" t="s">
        <v>658</v>
      </c>
      <c r="C6" s="214">
        <v>91677</v>
      </c>
      <c r="D6" s="215" t="s">
        <v>659</v>
      </c>
      <c r="E6" s="216" t="s">
        <v>297</v>
      </c>
      <c r="F6" s="217">
        <f>(8+8)*12</f>
        <v>192</v>
      </c>
      <c r="G6" s="444">
        <v>105.87</v>
      </c>
      <c r="H6" s="218">
        <f>G6*(1+'A2) BDI'!$D$18)</f>
        <v>136.8949513894569</v>
      </c>
      <c r="I6" s="219">
        <f aca="true" t="shared" si="0" ref="I6:I13">F6*H6</f>
        <v>26283.830666775728</v>
      </c>
    </row>
    <row r="7" spans="1:9" ht="16.5">
      <c r="A7" s="213" t="s">
        <v>633</v>
      </c>
      <c r="B7" s="214" t="s">
        <v>658</v>
      </c>
      <c r="C7" s="220">
        <v>88266</v>
      </c>
      <c r="D7" s="221" t="s">
        <v>661</v>
      </c>
      <c r="E7" s="222" t="s">
        <v>297</v>
      </c>
      <c r="F7" s="217">
        <f>(8+8)*12</f>
        <v>192</v>
      </c>
      <c r="G7" s="445">
        <v>27.44</v>
      </c>
      <c r="H7" s="218">
        <f>G7*(1+'A2) BDI'!$D$18)</f>
        <v>35.48122665652874</v>
      </c>
      <c r="I7" s="219">
        <f t="shared" si="0"/>
        <v>6812.395518053518</v>
      </c>
    </row>
    <row r="8" spans="1:9" ht="16.5">
      <c r="A8" s="213" t="s">
        <v>556</v>
      </c>
      <c r="B8" s="214" t="s">
        <v>658</v>
      </c>
      <c r="C8" s="214">
        <v>90778</v>
      </c>
      <c r="D8" s="215" t="s">
        <v>668</v>
      </c>
      <c r="E8" s="216" t="s">
        <v>297</v>
      </c>
      <c r="F8" s="217">
        <f>(4+4)*12</f>
        <v>96</v>
      </c>
      <c r="G8" s="444">
        <v>118.48</v>
      </c>
      <c r="H8" s="218">
        <f>G8*(1+'A2) BDI'!$D$18)</f>
        <v>153.20028186098853</v>
      </c>
      <c r="I8" s="219">
        <f t="shared" si="0"/>
        <v>14707.227058654898</v>
      </c>
    </row>
    <row r="9" spans="1:9" ht="16.5">
      <c r="A9" s="213" t="s">
        <v>557</v>
      </c>
      <c r="B9" s="220" t="s">
        <v>658</v>
      </c>
      <c r="C9" s="220">
        <v>88267</v>
      </c>
      <c r="D9" s="221" t="s">
        <v>669</v>
      </c>
      <c r="E9" s="222" t="s">
        <v>297</v>
      </c>
      <c r="F9" s="217">
        <f>(8+8)*12</f>
        <v>192</v>
      </c>
      <c r="G9" s="445">
        <v>22.47</v>
      </c>
      <c r="H9" s="218">
        <f>G9*(1+'A2) BDI'!$D$18)</f>
        <v>29.054779991698275</v>
      </c>
      <c r="I9" s="219">
        <f t="shared" si="0"/>
        <v>5578.517758406069</v>
      </c>
    </row>
    <row r="10" spans="1:9" ht="16.5">
      <c r="A10" s="213" t="s">
        <v>672</v>
      </c>
      <c r="B10" s="220" t="s">
        <v>658</v>
      </c>
      <c r="C10" s="220">
        <v>88321</v>
      </c>
      <c r="D10" s="221" t="s">
        <v>673</v>
      </c>
      <c r="E10" s="222" t="s">
        <v>297</v>
      </c>
      <c r="F10" s="223">
        <f>(8+8)*12</f>
        <v>192</v>
      </c>
      <c r="G10" s="445">
        <v>25.39</v>
      </c>
      <c r="H10" s="218">
        <f>G10*(1+'A2) BDI'!$D$18)</f>
        <v>32.83047903823851</v>
      </c>
      <c r="I10" s="219">
        <f t="shared" si="0"/>
        <v>6303.4519753417935</v>
      </c>
    </row>
    <row r="11" spans="1:9" ht="16.5">
      <c r="A11" s="213" t="s">
        <v>638</v>
      </c>
      <c r="B11" s="220" t="s">
        <v>12</v>
      </c>
      <c r="C11" s="220" t="s">
        <v>117</v>
      </c>
      <c r="D11" s="221" t="s">
        <v>11</v>
      </c>
      <c r="E11" s="222" t="s">
        <v>297</v>
      </c>
      <c r="F11" s="223">
        <f>(2+2)*12</f>
        <v>48</v>
      </c>
      <c r="G11" s="445">
        <f>5099.32/176</f>
        <v>28.97340909090909</v>
      </c>
      <c r="H11" s="218">
        <f>G11*(1+'A2) BDI'!$D$18)</f>
        <v>37.46399762998818</v>
      </c>
      <c r="I11" s="219">
        <f>F11*H11</f>
        <v>1798.2718862394327</v>
      </c>
    </row>
    <row r="12" spans="1:9" ht="16.5">
      <c r="A12" s="213" t="s">
        <v>640</v>
      </c>
      <c r="B12" s="220" t="s">
        <v>658</v>
      </c>
      <c r="C12" s="220">
        <v>88265</v>
      </c>
      <c r="D12" s="221" t="s">
        <v>14</v>
      </c>
      <c r="E12" s="222" t="s">
        <v>297</v>
      </c>
      <c r="F12" s="223">
        <f>(8+8+8+8)*3</f>
        <v>96</v>
      </c>
      <c r="G12" s="445">
        <v>23.32</v>
      </c>
      <c r="H12" s="218">
        <f>G12*(1+'A2) BDI'!$D$18)</f>
        <v>30.153870467574716</v>
      </c>
      <c r="I12" s="219">
        <f>F12*H12</f>
        <v>2894.7715648871726</v>
      </c>
    </row>
    <row r="13" spans="1:9" ht="16.5">
      <c r="A13" s="213" t="s">
        <v>642</v>
      </c>
      <c r="B13" s="220" t="s">
        <v>13</v>
      </c>
      <c r="C13" s="220"/>
      <c r="D13" s="221" t="s">
        <v>660</v>
      </c>
      <c r="E13" s="222" t="s">
        <v>356</v>
      </c>
      <c r="F13" s="223">
        <v>2</v>
      </c>
      <c r="G13" s="445">
        <v>233.94</v>
      </c>
      <c r="H13" s="218">
        <f>G13*(1+'A2) BDI'!$D$18)</f>
        <v>302.49555991356897</v>
      </c>
      <c r="I13" s="219">
        <f t="shared" si="0"/>
        <v>604.9911198271379</v>
      </c>
    </row>
    <row r="14" spans="1:9" ht="17.25" thickBot="1">
      <c r="A14" s="225"/>
      <c r="B14" s="221"/>
      <c r="C14" s="221"/>
      <c r="D14" s="221"/>
      <c r="E14" s="222"/>
      <c r="F14" s="223"/>
      <c r="G14" s="222"/>
      <c r="H14" s="226"/>
      <c r="I14" s="224"/>
    </row>
    <row r="15" spans="1:11" ht="17.25" thickBot="1">
      <c r="A15" s="227"/>
      <c r="B15" s="228"/>
      <c r="C15" s="229" t="s">
        <v>662</v>
      </c>
      <c r="D15" s="228"/>
      <c r="E15" s="230"/>
      <c r="F15" s="231"/>
      <c r="G15" s="230"/>
      <c r="H15" s="232"/>
      <c r="I15" s="233">
        <f>SUM(I6:I14)</f>
        <v>64983.45754818575</v>
      </c>
      <c r="K15" s="463"/>
    </row>
    <row r="16" spans="1:9" ht="16.5">
      <c r="A16" s="234"/>
      <c r="B16" s="235"/>
      <c r="C16" s="208" t="s">
        <v>663</v>
      </c>
      <c r="D16" s="235"/>
      <c r="E16" s="210"/>
      <c r="F16" s="236"/>
      <c r="G16" s="210"/>
      <c r="H16" s="211"/>
      <c r="I16" s="237">
        <f>ROUND((I15/12),2)</f>
        <v>5415.29</v>
      </c>
    </row>
    <row r="18" spans="6:7" ht="12.75">
      <c r="F18" s="246" t="s">
        <v>344</v>
      </c>
      <c r="G18" s="247">
        <f>'A2) BDI'!D18</f>
        <v>0.293047618678161</v>
      </c>
    </row>
    <row r="19" spans="1:11" ht="16.5">
      <c r="A19" s="238" t="s">
        <v>670</v>
      </c>
      <c r="B19" s="238"/>
      <c r="C19" s="238"/>
      <c r="D19" s="239"/>
      <c r="E19" s="240"/>
      <c r="F19" s="239"/>
      <c r="G19" s="238"/>
      <c r="H19" s="238"/>
      <c r="I19" s="238"/>
      <c r="J19" s="238"/>
      <c r="K19" s="238"/>
    </row>
    <row r="20" spans="1:11" ht="36" customHeight="1">
      <c r="A20" s="244">
        <v>1</v>
      </c>
      <c r="B20" s="715" t="s">
        <v>15</v>
      </c>
      <c r="C20" s="715"/>
      <c r="D20" s="715"/>
      <c r="E20" s="715"/>
      <c r="F20" s="715"/>
      <c r="G20" s="715"/>
      <c r="H20" s="715"/>
      <c r="I20" s="715"/>
      <c r="J20" s="238"/>
      <c r="K20" s="238"/>
    </row>
    <row r="21" spans="1:9" ht="30" customHeight="1">
      <c r="A21" s="241">
        <v>2</v>
      </c>
      <c r="B21" s="716" t="s">
        <v>1056</v>
      </c>
      <c r="C21" s="716"/>
      <c r="D21" s="716"/>
      <c r="E21" s="716"/>
      <c r="F21" s="716"/>
      <c r="G21" s="716"/>
      <c r="H21" s="716"/>
      <c r="I21" s="716"/>
    </row>
    <row r="22" spans="1:9" ht="25.5" customHeight="1">
      <c r="A22" s="244">
        <v>3</v>
      </c>
      <c r="B22" s="716" t="s">
        <v>1055</v>
      </c>
      <c r="C22" s="716"/>
      <c r="D22" s="716"/>
      <c r="E22" s="716"/>
      <c r="F22" s="716"/>
      <c r="G22" s="716"/>
      <c r="H22" s="716"/>
      <c r="I22" s="716"/>
    </row>
    <row r="23" spans="1:11" ht="16.5" customHeight="1">
      <c r="A23" s="241">
        <v>4</v>
      </c>
      <c r="B23" s="717" t="s">
        <v>671</v>
      </c>
      <c r="C23" s="717"/>
      <c r="D23" s="717"/>
      <c r="E23" s="717"/>
      <c r="F23" s="717"/>
      <c r="G23" s="717"/>
      <c r="H23" s="717"/>
      <c r="I23" s="717"/>
      <c r="J23" s="245"/>
      <c r="K23" s="245"/>
    </row>
    <row r="24" spans="1:11" ht="26.25" customHeight="1">
      <c r="A24" s="244">
        <v>5</v>
      </c>
      <c r="B24" s="715" t="s">
        <v>885</v>
      </c>
      <c r="C24" s="715"/>
      <c r="D24" s="715"/>
      <c r="E24" s="715"/>
      <c r="F24" s="715"/>
      <c r="G24" s="715"/>
      <c r="H24" s="715"/>
      <c r="I24" s="715"/>
      <c r="J24" s="243"/>
      <c r="K24" s="243"/>
    </row>
    <row r="25" spans="1:11" ht="30" customHeight="1">
      <c r="A25" s="241">
        <v>6</v>
      </c>
      <c r="B25" s="715" t="s">
        <v>886</v>
      </c>
      <c r="C25" s="715"/>
      <c r="D25" s="715"/>
      <c r="E25" s="715"/>
      <c r="F25" s="715"/>
      <c r="G25" s="715"/>
      <c r="H25" s="715"/>
      <c r="I25" s="715"/>
      <c r="J25" s="244"/>
      <c r="K25" s="244"/>
    </row>
    <row r="26" spans="1:11" ht="28.5" customHeight="1">
      <c r="A26" s="244">
        <v>7</v>
      </c>
      <c r="B26" s="715" t="s">
        <v>1030</v>
      </c>
      <c r="C26" s="715"/>
      <c r="D26" s="715"/>
      <c r="E26" s="715"/>
      <c r="F26" s="715"/>
      <c r="G26" s="715"/>
      <c r="H26" s="715"/>
      <c r="I26" s="715"/>
      <c r="J26" s="244"/>
      <c r="K26" s="244"/>
    </row>
    <row r="27" spans="1:11" ht="16.5">
      <c r="A27" s="244">
        <v>8</v>
      </c>
      <c r="B27" s="717" t="s">
        <v>16</v>
      </c>
      <c r="C27" s="717"/>
      <c r="D27" s="717"/>
      <c r="E27" s="717"/>
      <c r="F27" s="717"/>
      <c r="G27" s="717"/>
      <c r="H27" s="717"/>
      <c r="I27" s="717"/>
      <c r="J27" s="244"/>
      <c r="K27" s="244"/>
    </row>
    <row r="28" spans="1:11" ht="16.5">
      <c r="A28" s="242">
        <v>9</v>
      </c>
      <c r="B28" s="717" t="s">
        <v>996</v>
      </c>
      <c r="C28" s="717"/>
      <c r="D28" s="717"/>
      <c r="E28" s="717"/>
      <c r="F28" s="717"/>
      <c r="G28" s="717"/>
      <c r="H28" s="717"/>
      <c r="I28" s="717"/>
      <c r="J28" s="244"/>
      <c r="K28" s="244"/>
    </row>
    <row r="29" spans="1:9" ht="16.5">
      <c r="A29" s="242">
        <v>10</v>
      </c>
      <c r="B29" s="717" t="s">
        <v>997</v>
      </c>
      <c r="C29" s="717"/>
      <c r="D29" s="717"/>
      <c r="E29" s="717"/>
      <c r="F29" s="717"/>
      <c r="G29" s="717"/>
      <c r="H29" s="717"/>
      <c r="I29" s="717"/>
    </row>
  </sheetData>
  <sheetProtection/>
  <mergeCells count="11">
    <mergeCell ref="B28:I28"/>
    <mergeCell ref="A2:I2"/>
    <mergeCell ref="B20:I20"/>
    <mergeCell ref="B21:I21"/>
    <mergeCell ref="B24:I24"/>
    <mergeCell ref="B23:I23"/>
    <mergeCell ref="B29:I29"/>
    <mergeCell ref="B25:I25"/>
    <mergeCell ref="B22:I22"/>
    <mergeCell ref="B26:I26"/>
    <mergeCell ref="B27:I27"/>
  </mergeCells>
  <printOptions/>
  <pageMargins left="0.511811024" right="0.511811024" top="0.787401575" bottom="0.787401575" header="0.31496062" footer="0.31496062"/>
  <pageSetup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workbookViewId="0" topLeftCell="A16">
      <selection activeCell="E35" sqref="E35:F35"/>
    </sheetView>
  </sheetViews>
  <sheetFormatPr defaultColWidth="9.140625" defaultRowHeight="12.75"/>
  <cols>
    <col min="1" max="1" width="6.7109375" style="0" customWidth="1"/>
    <col min="2" max="2" width="40.140625" style="0" customWidth="1"/>
    <col min="3" max="3" width="13.28125" style="0" customWidth="1"/>
    <col min="4" max="4" width="14.421875" style="0" customWidth="1"/>
    <col min="5" max="5" width="10.7109375" style="0" customWidth="1"/>
    <col min="6" max="6" width="21.00390625" style="0" customWidth="1"/>
    <col min="7" max="7" width="11.28125" style="0" bestFit="1" customWidth="1"/>
    <col min="8" max="8" width="13.28125" style="0" bestFit="1" customWidth="1"/>
    <col min="9" max="9" width="11.28125" style="0" bestFit="1" customWidth="1"/>
    <col min="11" max="11" width="10.28125" style="0" bestFit="1" customWidth="1"/>
    <col min="12" max="12" width="12.8515625" style="0" bestFit="1" customWidth="1"/>
  </cols>
  <sheetData>
    <row r="1" spans="1:6" ht="15.75">
      <c r="A1" s="727" t="s">
        <v>551</v>
      </c>
      <c r="B1" s="727"/>
      <c r="C1" s="727"/>
      <c r="D1" s="727"/>
      <c r="E1" s="727"/>
      <c r="F1" s="727"/>
    </row>
    <row r="2" spans="1:6" ht="13.5" thickBot="1">
      <c r="A2" s="728"/>
      <c r="B2" s="728"/>
      <c r="C2" s="728"/>
      <c r="D2" s="728"/>
      <c r="E2" s="728"/>
      <c r="F2" s="728"/>
    </row>
    <row r="3" spans="1:6" s="98" customFormat="1" ht="13.5" thickBot="1">
      <c r="A3" s="97" t="s">
        <v>552</v>
      </c>
      <c r="B3" s="729" t="s">
        <v>726</v>
      </c>
      <c r="C3" s="729"/>
      <c r="D3" s="729"/>
      <c r="E3" s="729"/>
      <c r="F3" s="729"/>
    </row>
    <row r="4" spans="1:6" ht="38.25">
      <c r="A4" s="99"/>
      <c r="B4" s="100" t="s">
        <v>553</v>
      </c>
      <c r="C4" s="200" t="s">
        <v>554</v>
      </c>
      <c r="D4" s="200" t="s">
        <v>326</v>
      </c>
      <c r="E4" s="200" t="s">
        <v>723</v>
      </c>
      <c r="F4" s="200" t="s">
        <v>724</v>
      </c>
    </row>
    <row r="5" spans="1:6" s="103" customFormat="1" ht="12.75">
      <c r="A5" s="99" t="s">
        <v>555</v>
      </c>
      <c r="B5" s="505" t="s">
        <v>706</v>
      </c>
      <c r="C5" s="506">
        <f>'B1) ELETRICISTA'!E157</f>
        <v>6741.263805625001</v>
      </c>
      <c r="D5" s="101" t="s">
        <v>725</v>
      </c>
      <c r="E5" s="101">
        <v>3</v>
      </c>
      <c r="F5" s="102">
        <f>ROUND(C5*E5,2)</f>
        <v>20223.79</v>
      </c>
    </row>
    <row r="6" spans="1:6" s="103" customFormat="1" ht="12.75">
      <c r="A6" s="99" t="s">
        <v>633</v>
      </c>
      <c r="B6" s="505" t="s">
        <v>705</v>
      </c>
      <c r="C6" s="506">
        <f>'B2) AUXILIAR DE MANUTENÇÃO II'!E158</f>
        <v>5278.549390625</v>
      </c>
      <c r="D6" s="101" t="s">
        <v>725</v>
      </c>
      <c r="E6" s="101">
        <v>3</v>
      </c>
      <c r="F6" s="102">
        <f>ROUND(C6*E6,2)</f>
        <v>15835.65</v>
      </c>
    </row>
    <row r="7" spans="1:6" s="103" customFormat="1" ht="12.75">
      <c r="A7" s="104" t="s">
        <v>556</v>
      </c>
      <c r="B7" s="505" t="s">
        <v>323</v>
      </c>
      <c r="C7" s="506">
        <f>'B3) TÉCNICO DE EDIFICAÇÕES'!E153</f>
        <v>7669.769920625</v>
      </c>
      <c r="D7" s="101" t="s">
        <v>725</v>
      </c>
      <c r="E7" s="101">
        <v>2</v>
      </c>
      <c r="F7" s="102">
        <f>ROUND(C7*E7,2)</f>
        <v>15339.54</v>
      </c>
    </row>
    <row r="8" spans="1:9" s="103" customFormat="1" ht="12.75">
      <c r="A8" s="105"/>
      <c r="B8" s="351" t="s">
        <v>722</v>
      </c>
      <c r="C8" s="106"/>
      <c r="D8" s="106"/>
      <c r="E8" s="101">
        <f>SUM(E5:E7)</f>
        <v>8</v>
      </c>
      <c r="F8" s="352">
        <f>SUM(F5:F7)</f>
        <v>51398.98</v>
      </c>
      <c r="H8" s="462"/>
      <c r="I8" s="462"/>
    </row>
    <row r="10" spans="1:8" ht="25.5" customHeight="1">
      <c r="A10" s="99" t="s">
        <v>557</v>
      </c>
      <c r="B10" s="723" t="s">
        <v>20</v>
      </c>
      <c r="C10" s="724"/>
      <c r="D10" s="724"/>
      <c r="E10" s="725"/>
      <c r="F10" s="507">
        <f>'F0)Comp.Serv. Especializado'!I16</f>
        <v>5415.29</v>
      </c>
      <c r="G10" s="182"/>
      <c r="H10" s="250"/>
    </row>
    <row r="11" spans="1:8" ht="33" customHeight="1">
      <c r="A11" s="107" t="s">
        <v>558</v>
      </c>
      <c r="B11" s="723" t="s">
        <v>19</v>
      </c>
      <c r="C11" s="724"/>
      <c r="D11" s="724"/>
      <c r="E11" s="725"/>
      <c r="F11" s="508">
        <v>1544.49</v>
      </c>
      <c r="G11" s="182"/>
      <c r="H11" s="250"/>
    </row>
    <row r="12" spans="1:12" ht="12.75">
      <c r="A12" s="108" t="s">
        <v>674</v>
      </c>
      <c r="B12" s="107"/>
      <c r="C12" s="109"/>
      <c r="D12" s="109"/>
      <c r="E12" s="110"/>
      <c r="F12" s="113">
        <f>F8+SUM(F10:F11)</f>
        <v>58358.76</v>
      </c>
      <c r="K12" s="182"/>
      <c r="L12" s="182"/>
    </row>
    <row r="14" spans="1:7" ht="12.75">
      <c r="A14" s="99" t="s">
        <v>638</v>
      </c>
      <c r="B14" s="732" t="s">
        <v>736</v>
      </c>
      <c r="C14" s="733"/>
      <c r="D14" s="733"/>
      <c r="E14" s="734"/>
      <c r="F14" s="509">
        <v>12007.8</v>
      </c>
      <c r="G14" s="182"/>
    </row>
    <row r="15" spans="1:6" ht="12.75">
      <c r="A15" s="114"/>
      <c r="B15" s="115"/>
      <c r="C15" s="15"/>
      <c r="D15" s="15"/>
      <c r="E15" s="15"/>
      <c r="F15" s="353"/>
    </row>
    <row r="16" spans="1:6" ht="12.75">
      <c r="A16" s="108" t="s">
        <v>559</v>
      </c>
      <c r="B16" s="112"/>
      <c r="C16" s="109"/>
      <c r="D16" s="109"/>
      <c r="E16" s="110"/>
      <c r="F16" s="113">
        <f>12*(F12+F14)</f>
        <v>844398.72</v>
      </c>
    </row>
    <row r="17" spans="1:6" ht="12.75">
      <c r="A17" s="114"/>
      <c r="B17" s="115"/>
      <c r="C17" s="15"/>
      <c r="D17" s="15"/>
      <c r="E17" s="15"/>
      <c r="F17" s="353"/>
    </row>
    <row r="18" spans="1:6" ht="13.5" thickBot="1">
      <c r="A18" s="115"/>
      <c r="B18" s="115"/>
      <c r="C18" s="15"/>
      <c r="D18" s="15"/>
      <c r="E18" s="15"/>
      <c r="F18" s="116"/>
    </row>
    <row r="19" spans="1:6" ht="43.5" customHeight="1">
      <c r="A19" s="117" t="s">
        <v>560</v>
      </c>
      <c r="B19" s="730" t="s">
        <v>46</v>
      </c>
      <c r="C19" s="730"/>
      <c r="D19" s="730"/>
      <c r="E19" s="731" t="s">
        <v>664</v>
      </c>
      <c r="F19" s="731"/>
    </row>
    <row r="20" spans="1:6" ht="15.75">
      <c r="A20" s="118" t="s">
        <v>561</v>
      </c>
      <c r="B20" s="726" t="s">
        <v>327</v>
      </c>
      <c r="C20" s="726"/>
      <c r="D20" s="726"/>
      <c r="E20" s="720">
        <f>'C) Interior'!C7</f>
        <v>2600.3025</v>
      </c>
      <c r="F20" s="721"/>
    </row>
    <row r="21" spans="1:6" ht="15.75">
      <c r="A21" s="118" t="s">
        <v>562</v>
      </c>
      <c r="B21" s="726" t="s">
        <v>328</v>
      </c>
      <c r="C21" s="726"/>
      <c r="D21" s="726"/>
      <c r="E21" s="720">
        <f>'C) Interior'!C8</f>
        <v>2657.2325</v>
      </c>
      <c r="F21" s="721"/>
    </row>
    <row r="22" spans="1:6" ht="15.75">
      <c r="A22" s="118" t="s">
        <v>563</v>
      </c>
      <c r="B22" s="726" t="s">
        <v>329</v>
      </c>
      <c r="C22" s="726"/>
      <c r="D22" s="726"/>
      <c r="E22" s="720">
        <f>'C) Interior'!C9</f>
        <v>2657.2325</v>
      </c>
      <c r="F22" s="721"/>
    </row>
    <row r="23" spans="1:6" ht="15.75">
      <c r="A23" s="118" t="s">
        <v>564</v>
      </c>
      <c r="B23" s="726" t="s">
        <v>729</v>
      </c>
      <c r="C23" s="726"/>
      <c r="D23" s="726"/>
      <c r="E23" s="720">
        <f>'C) Interior'!C10</f>
        <v>2657.2325</v>
      </c>
      <c r="F23" s="721"/>
    </row>
    <row r="24" spans="1:6" ht="15.75">
      <c r="A24" s="118" t="s">
        <v>718</v>
      </c>
      <c r="B24" s="726" t="s">
        <v>728</v>
      </c>
      <c r="C24" s="726"/>
      <c r="D24" s="726"/>
      <c r="E24" s="720">
        <f>'C) Interior'!C17</f>
        <v>1222.97</v>
      </c>
      <c r="F24" s="721"/>
    </row>
    <row r="25" spans="1:6" ht="15.75">
      <c r="A25" s="118" t="s">
        <v>719</v>
      </c>
      <c r="B25" s="726" t="s">
        <v>727</v>
      </c>
      <c r="C25" s="726"/>
      <c r="D25" s="726"/>
      <c r="E25" s="720">
        <f>'C) Interior'!C16</f>
        <v>1179.83</v>
      </c>
      <c r="F25" s="721"/>
    </row>
    <row r="26" spans="1:6" ht="15.75">
      <c r="A26" s="118" t="s">
        <v>737</v>
      </c>
      <c r="B26" s="726" t="s">
        <v>568</v>
      </c>
      <c r="C26" s="726"/>
      <c r="D26" s="726"/>
      <c r="E26" s="720">
        <f>'C) Interior'!C20</f>
        <v>1288.23</v>
      </c>
      <c r="F26" s="721"/>
    </row>
    <row r="27" spans="1:6" ht="15.75">
      <c r="A27" s="118" t="s">
        <v>565</v>
      </c>
      <c r="B27" s="726" t="s">
        <v>571</v>
      </c>
      <c r="C27" s="726"/>
      <c r="D27" s="726"/>
      <c r="E27" s="720">
        <f>'C) Interior'!C19</f>
        <v>1341.59</v>
      </c>
      <c r="F27" s="721"/>
    </row>
    <row r="28" spans="1:6" ht="15.75">
      <c r="A28" s="118" t="s">
        <v>566</v>
      </c>
      <c r="B28" s="726" t="s">
        <v>573</v>
      </c>
      <c r="C28" s="726"/>
      <c r="D28" s="726"/>
      <c r="E28" s="720">
        <f>'C) Interior'!C18</f>
        <v>1159.72</v>
      </c>
      <c r="F28" s="721"/>
    </row>
    <row r="29" spans="1:6" ht="15.75">
      <c r="A29" s="118" t="s">
        <v>567</v>
      </c>
      <c r="B29" s="726" t="s">
        <v>331</v>
      </c>
      <c r="C29" s="726"/>
      <c r="D29" s="726"/>
      <c r="E29" s="720">
        <f>'C) Interior'!C11</f>
        <v>3408.693333333333</v>
      </c>
      <c r="F29" s="721"/>
    </row>
    <row r="30" spans="1:6" ht="15.75">
      <c r="A30" s="118" t="s">
        <v>569</v>
      </c>
      <c r="B30" s="726" t="s">
        <v>333</v>
      </c>
      <c r="C30" s="726"/>
      <c r="D30" s="726"/>
      <c r="E30" s="720">
        <f>'C) Interior'!C12</f>
        <v>3372.1766666666667</v>
      </c>
      <c r="F30" s="721"/>
    </row>
    <row r="31" spans="1:6" ht="15.75">
      <c r="A31" s="118" t="s">
        <v>570</v>
      </c>
      <c r="B31" s="726" t="s">
        <v>334</v>
      </c>
      <c r="C31" s="726"/>
      <c r="D31" s="726"/>
      <c r="E31" s="720">
        <f>'C) Interior'!C15</f>
        <v>1665.11</v>
      </c>
      <c r="F31" s="721"/>
    </row>
    <row r="32" spans="1:6" ht="15.75">
      <c r="A32" s="118" t="s">
        <v>572</v>
      </c>
      <c r="B32" s="726" t="s">
        <v>732</v>
      </c>
      <c r="C32" s="726"/>
      <c r="D32" s="726"/>
      <c r="E32" s="720">
        <f>'C) Interior'!C13</f>
        <v>3372.1766666666667</v>
      </c>
      <c r="F32" s="721"/>
    </row>
    <row r="33" spans="1:7" ht="15.75">
      <c r="A33" s="118" t="s">
        <v>876</v>
      </c>
      <c r="B33" s="726" t="s">
        <v>733</v>
      </c>
      <c r="C33" s="726"/>
      <c r="D33" s="726"/>
      <c r="E33" s="720">
        <f>'C) Interior'!C14</f>
        <v>2594.1725</v>
      </c>
      <c r="F33" s="721"/>
      <c r="G33" s="182"/>
    </row>
    <row r="34" spans="1:7" ht="12.75">
      <c r="A34" s="356" t="s">
        <v>1024</v>
      </c>
      <c r="B34" s="357"/>
      <c r="C34" s="357"/>
      <c r="D34" s="357"/>
      <c r="E34" s="718">
        <f>SUM(E20:F33)</f>
        <v>31176.669166666667</v>
      </c>
      <c r="F34" s="719"/>
      <c r="G34" s="120"/>
    </row>
    <row r="35" spans="1:6" ht="12.75">
      <c r="A35" s="358" t="s">
        <v>574</v>
      </c>
      <c r="B35" s="359"/>
      <c r="C35" s="173"/>
      <c r="D35" s="174"/>
      <c r="E35" s="718">
        <f>E34*4</f>
        <v>124706.67666666667</v>
      </c>
      <c r="F35" s="719">
        <f>E34*4</f>
        <v>124706.67666666667</v>
      </c>
    </row>
    <row r="36" spans="1:6" ht="15.75">
      <c r="A36" s="121"/>
      <c r="B36" s="355"/>
      <c r="C36" s="355"/>
      <c r="D36" s="355"/>
      <c r="E36" s="9"/>
      <c r="F36" s="122"/>
    </row>
    <row r="37" spans="1:6" ht="13.5" thickBot="1">
      <c r="A37" s="121"/>
      <c r="B37" s="9"/>
      <c r="C37" s="9"/>
      <c r="D37" s="9"/>
      <c r="E37" s="9"/>
      <c r="F37" s="9"/>
    </row>
    <row r="38" spans="1:6" ht="13.5" thickBot="1">
      <c r="A38" s="393" t="s">
        <v>575</v>
      </c>
      <c r="B38" s="685" t="s">
        <v>576</v>
      </c>
      <c r="C38" s="686"/>
      <c r="D38" s="686"/>
      <c r="E38" s="687"/>
      <c r="F38" s="395" t="s">
        <v>577</v>
      </c>
    </row>
    <row r="39" spans="1:6" ht="15.75">
      <c r="A39" s="392" t="s">
        <v>578</v>
      </c>
      <c r="B39" s="722" t="s">
        <v>772</v>
      </c>
      <c r="C39" s="722"/>
      <c r="D39" s="722"/>
      <c r="E39" s="722"/>
      <c r="F39" s="394">
        <f>'D) Serv. Eventuais '!I15</f>
        <v>12407.244610533826</v>
      </c>
    </row>
    <row r="40" spans="1:6" ht="15.75">
      <c r="A40" s="254" t="s">
        <v>579</v>
      </c>
      <c r="B40" s="735" t="s">
        <v>764</v>
      </c>
      <c r="C40" s="735"/>
      <c r="D40" s="735"/>
      <c r="E40" s="735"/>
      <c r="F40" s="379">
        <f>'D) Serv. Eventuais '!I16</f>
        <v>13405.011608027726</v>
      </c>
    </row>
    <row r="41" spans="1:6" ht="15.75">
      <c r="A41" s="254" t="s">
        <v>580</v>
      </c>
      <c r="B41" s="735" t="s">
        <v>784</v>
      </c>
      <c r="C41" s="735"/>
      <c r="D41" s="735"/>
      <c r="E41" s="735"/>
      <c r="F41" s="379">
        <f>'D) Serv. Eventuais '!I17</f>
        <v>13146.211608027726</v>
      </c>
    </row>
    <row r="42" spans="1:6" ht="15.75">
      <c r="A42" s="254" t="s">
        <v>581</v>
      </c>
      <c r="B42" s="735" t="s">
        <v>774</v>
      </c>
      <c r="C42" s="735"/>
      <c r="D42" s="735"/>
      <c r="E42" s="735"/>
      <c r="F42" s="379">
        <f>'D) Serv. Eventuais '!I18</f>
        <v>13009.611608027726</v>
      </c>
    </row>
    <row r="43" spans="1:6" ht="15.75">
      <c r="A43" s="254" t="s">
        <v>582</v>
      </c>
      <c r="B43" s="735" t="s">
        <v>768</v>
      </c>
      <c r="C43" s="735"/>
      <c r="D43" s="735"/>
      <c r="E43" s="735"/>
      <c r="F43" s="379">
        <f>'D) Serv. Eventuais '!I19</f>
        <v>14283.92745417794</v>
      </c>
    </row>
    <row r="44" spans="1:6" ht="15.75">
      <c r="A44" s="254" t="s">
        <v>583</v>
      </c>
      <c r="B44" s="735" t="s">
        <v>785</v>
      </c>
      <c r="C44" s="735"/>
      <c r="D44" s="735"/>
      <c r="E44" s="735"/>
      <c r="F44" s="379">
        <f>'D) Serv. Eventuais '!I20</f>
        <v>13884.684610533826</v>
      </c>
    </row>
    <row r="45" spans="1:6" ht="15.75">
      <c r="A45" s="254" t="s">
        <v>720</v>
      </c>
      <c r="B45" s="735" t="s">
        <v>786</v>
      </c>
      <c r="C45" s="735"/>
      <c r="D45" s="735"/>
      <c r="E45" s="735"/>
      <c r="F45" s="379">
        <f>'D) Serv. Eventuais '!I21</f>
        <v>19919.46691580074</v>
      </c>
    </row>
    <row r="46" spans="1:6" ht="15.75">
      <c r="A46" s="254" t="s">
        <v>791</v>
      </c>
      <c r="B46" s="735" t="s">
        <v>751</v>
      </c>
      <c r="C46" s="735"/>
      <c r="D46" s="735"/>
      <c r="E46" s="735"/>
      <c r="F46" s="379">
        <f>'D) Serv. Eventuais '!I22</f>
        <v>13016.811608027727</v>
      </c>
    </row>
    <row r="47" spans="1:6" ht="15.75">
      <c r="A47" s="254" t="s">
        <v>792</v>
      </c>
      <c r="B47" s="736" t="s">
        <v>745</v>
      </c>
      <c r="C47" s="737"/>
      <c r="D47" s="737"/>
      <c r="E47" s="738"/>
      <c r="F47" s="379">
        <f>'D) Serv. Eventuais '!I23</f>
        <v>16438.696993176734</v>
      </c>
    </row>
    <row r="48" spans="1:6" ht="15.75">
      <c r="A48" s="254" t="s">
        <v>793</v>
      </c>
      <c r="B48" s="735" t="s">
        <v>770</v>
      </c>
      <c r="C48" s="735"/>
      <c r="D48" s="735"/>
      <c r="E48" s="735"/>
      <c r="F48" s="379">
        <f>'D) Serv. Eventuais '!I24</f>
        <v>17697.523823822932</v>
      </c>
    </row>
    <row r="49" spans="1:6" ht="15.75">
      <c r="A49" s="254" t="s">
        <v>794</v>
      </c>
      <c r="B49" s="735" t="s">
        <v>762</v>
      </c>
      <c r="C49" s="735"/>
      <c r="D49" s="735"/>
      <c r="E49" s="735"/>
      <c r="F49" s="379">
        <f>'D) Serv. Eventuais '!I25</f>
        <v>18344.32382382293</v>
      </c>
    </row>
    <row r="50" spans="1:6" ht="15.75">
      <c r="A50" s="254" t="s">
        <v>795</v>
      </c>
      <c r="B50" s="735" t="s">
        <v>766</v>
      </c>
      <c r="C50" s="735"/>
      <c r="D50" s="735"/>
      <c r="E50" s="735"/>
      <c r="F50" s="379">
        <f>'D) Serv. Eventuais '!I26</f>
        <v>5798.532331058912</v>
      </c>
    </row>
    <row r="51" spans="1:6" ht="15.75">
      <c r="A51" s="254" t="s">
        <v>796</v>
      </c>
      <c r="B51" s="735" t="s">
        <v>758</v>
      </c>
      <c r="C51" s="735"/>
      <c r="D51" s="735"/>
      <c r="E51" s="735"/>
      <c r="F51" s="379">
        <f>'D) Serv. Eventuais '!I27</f>
        <v>6707.974607940978</v>
      </c>
    </row>
    <row r="52" spans="1:6" ht="16.5" thickBot="1">
      <c r="A52" s="254" t="s">
        <v>798</v>
      </c>
      <c r="B52" s="739" t="s">
        <v>760</v>
      </c>
      <c r="C52" s="739"/>
      <c r="D52" s="739"/>
      <c r="E52" s="739"/>
      <c r="F52" s="390">
        <f>'D) Serv. Eventuais '!I28</f>
        <v>6441.0884888635055</v>
      </c>
    </row>
    <row r="53" spans="1:6" ht="13.5" thickBot="1">
      <c r="A53" s="380" t="s">
        <v>584</v>
      </c>
      <c r="B53" s="381"/>
      <c r="C53" s="381"/>
      <c r="D53" s="381"/>
      <c r="E53" s="382"/>
      <c r="F53" s="391">
        <f>SUM(F39:F52)</f>
        <v>184501.1100918432</v>
      </c>
    </row>
    <row r="54" spans="1:6" ht="12.75">
      <c r="A54" s="123"/>
      <c r="B54" s="123"/>
      <c r="C54" s="9"/>
      <c r="D54" s="9"/>
      <c r="E54" s="124"/>
      <c r="F54" s="9"/>
    </row>
    <row r="55" spans="1:6" ht="13.5" thickBot="1">
      <c r="A55" s="123"/>
      <c r="B55" s="123"/>
      <c r="C55" s="9"/>
      <c r="D55" s="9"/>
      <c r="E55" s="124"/>
      <c r="F55" s="9"/>
    </row>
    <row r="56" spans="1:6" ht="13.5" thickBot="1">
      <c r="A56" s="393" t="s">
        <v>585</v>
      </c>
      <c r="B56" s="740" t="s">
        <v>586</v>
      </c>
      <c r="C56" s="741"/>
      <c r="D56" s="741"/>
      <c r="E56" s="742"/>
      <c r="F56" s="395" t="s">
        <v>577</v>
      </c>
    </row>
    <row r="57" spans="1:6" ht="15.75">
      <c r="A57" s="392" t="s">
        <v>292</v>
      </c>
      <c r="B57" s="722" t="s">
        <v>587</v>
      </c>
      <c r="C57" s="722"/>
      <c r="D57" s="722"/>
      <c r="E57" s="743"/>
      <c r="F57" s="396">
        <f>'E) Materiais Reposição'!I150</f>
        <v>160499.76000000004</v>
      </c>
    </row>
    <row r="58" spans="1:6" ht="15.75">
      <c r="A58" s="254" t="s">
        <v>304</v>
      </c>
      <c r="B58" s="736" t="s">
        <v>588</v>
      </c>
      <c r="C58" s="737"/>
      <c r="D58" s="737"/>
      <c r="E58" s="737"/>
      <c r="F58" s="397">
        <f>'E) Materiais Reposição'!I260</f>
        <v>37190.760000000024</v>
      </c>
    </row>
    <row r="59" spans="1:6" ht="16.5" thickBot="1">
      <c r="A59" s="378" t="s">
        <v>307</v>
      </c>
      <c r="B59" s="747" t="s">
        <v>589</v>
      </c>
      <c r="C59" s="748"/>
      <c r="D59" s="748"/>
      <c r="E59" s="748"/>
      <c r="F59" s="398">
        <f>'E) Materiais Reposição'!I308</f>
        <v>67148.88</v>
      </c>
    </row>
    <row r="60" spans="1:8" ht="13.5" thickBot="1">
      <c r="A60" s="749" t="s">
        <v>590</v>
      </c>
      <c r="B60" s="750"/>
      <c r="C60" s="750"/>
      <c r="D60" s="750"/>
      <c r="E60" s="750"/>
      <c r="F60" s="391">
        <f>SUM(F57:F59)</f>
        <v>264839.4000000001</v>
      </c>
      <c r="H60" s="250"/>
    </row>
    <row r="61" spans="1:6" ht="13.5" thickBot="1">
      <c r="A61" s="121"/>
      <c r="B61" s="9"/>
      <c r="C61" s="9"/>
      <c r="D61" s="9"/>
      <c r="F61" s="9"/>
    </row>
    <row r="62" spans="1:7" ht="13.5" thickBot="1">
      <c r="A62" s="744" t="s">
        <v>591</v>
      </c>
      <c r="B62" s="745"/>
      <c r="C62" s="745"/>
      <c r="D62" s="745"/>
      <c r="E62" s="746"/>
      <c r="F62" s="383">
        <f>ROUND((F16+F35+F53+F60),2)</f>
        <v>1418445.91</v>
      </c>
      <c r="G62" s="182"/>
    </row>
    <row r="63" spans="1:6" ht="12.75">
      <c r="A63" s="121"/>
      <c r="B63" s="9"/>
      <c r="C63" s="9"/>
      <c r="D63" s="9"/>
      <c r="E63" s="125"/>
      <c r="F63" s="9"/>
    </row>
    <row r="64" spans="1:6" ht="12.75">
      <c r="A64" s="80"/>
      <c r="B64" s="80"/>
      <c r="C64" s="80"/>
      <c r="D64" s="80"/>
      <c r="E64" s="80"/>
      <c r="F64" s="7"/>
    </row>
    <row r="65" spans="1:5" ht="12.75">
      <c r="A65" s="80"/>
      <c r="B65" s="80"/>
      <c r="C65" s="80"/>
      <c r="D65" s="80"/>
      <c r="E65" s="80"/>
    </row>
    <row r="66" spans="1:5" ht="12.75">
      <c r="A66" s="80"/>
      <c r="B66" s="80"/>
      <c r="C66" s="80"/>
      <c r="D66" s="80"/>
      <c r="E66" s="80"/>
    </row>
    <row r="67" spans="1:5" ht="12.75">
      <c r="A67" s="80"/>
      <c r="B67" s="80"/>
      <c r="C67" s="80"/>
      <c r="D67" s="80"/>
      <c r="E67" s="80"/>
    </row>
    <row r="68" spans="1:5" ht="15">
      <c r="A68" s="542"/>
      <c r="B68" s="542"/>
      <c r="C68" s="80"/>
      <c r="D68" s="80"/>
      <c r="E68" s="80"/>
    </row>
  </sheetData>
  <sheetProtection selectLockedCells="1" selectUnlockedCells="1"/>
  <mergeCells count="60">
    <mergeCell ref="B52:E52"/>
    <mergeCell ref="B56:E56"/>
    <mergeCell ref="B57:E57"/>
    <mergeCell ref="A62:E62"/>
    <mergeCell ref="B58:E58"/>
    <mergeCell ref="B59:E59"/>
    <mergeCell ref="A60:E60"/>
    <mergeCell ref="B45:E45"/>
    <mergeCell ref="B46:E46"/>
    <mergeCell ref="B48:E48"/>
    <mergeCell ref="B49:E49"/>
    <mergeCell ref="B50:E50"/>
    <mergeCell ref="B51:E51"/>
    <mergeCell ref="B47:E47"/>
    <mergeCell ref="B40:E40"/>
    <mergeCell ref="B41:E41"/>
    <mergeCell ref="B42:E42"/>
    <mergeCell ref="B43:E43"/>
    <mergeCell ref="B44:E44"/>
    <mergeCell ref="B23:D23"/>
    <mergeCell ref="B24:D24"/>
    <mergeCell ref="B25:D25"/>
    <mergeCell ref="B29:D29"/>
    <mergeCell ref="B32:D32"/>
    <mergeCell ref="B33:D33"/>
    <mergeCell ref="B38:E38"/>
    <mergeCell ref="A1:F1"/>
    <mergeCell ref="A2:F2"/>
    <mergeCell ref="B3:F3"/>
    <mergeCell ref="B11:E11"/>
    <mergeCell ref="B19:D19"/>
    <mergeCell ref="E19:F19"/>
    <mergeCell ref="B14:E14"/>
    <mergeCell ref="B20:D20"/>
    <mergeCell ref="A68:B68"/>
    <mergeCell ref="B39:E39"/>
    <mergeCell ref="B10:E10"/>
    <mergeCell ref="B27:D27"/>
    <mergeCell ref="B31:D31"/>
    <mergeCell ref="B21:D21"/>
    <mergeCell ref="B22:D22"/>
    <mergeCell ref="B26:D26"/>
    <mergeCell ref="B28:D28"/>
    <mergeCell ref="B30:D30"/>
    <mergeCell ref="E20:F20"/>
    <mergeCell ref="E21:F21"/>
    <mergeCell ref="E22:F22"/>
    <mergeCell ref="E23:F23"/>
    <mergeCell ref="E24:F24"/>
    <mergeCell ref="E25:F25"/>
    <mergeCell ref="E35:F35"/>
    <mergeCell ref="E32:F32"/>
    <mergeCell ref="E33:F33"/>
    <mergeCell ref="E34:F34"/>
    <mergeCell ref="E26:F26"/>
    <mergeCell ref="E27:F27"/>
    <mergeCell ref="E28:F28"/>
    <mergeCell ref="E29:F29"/>
    <mergeCell ref="E30:F30"/>
    <mergeCell ref="E31:F31"/>
  </mergeCells>
  <printOptions horizontalCentered="1"/>
  <pageMargins left="0.7479166666666667" right="0.7479166666666667" top="0.9840277777777777" bottom="0.5902777777777778" header="0.5118055555555555" footer="0.5118055555555555"/>
  <pageSetup fitToHeight="2" orientation="landscape" paperSize="9" scale="79" r:id="rId1"/>
  <rowBreaks count="1" manualBreakCount="1">
    <brk id="3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120" zoomScaleSheetLayoutView="120" zoomScalePageLayoutView="0" workbookViewId="0" topLeftCell="A28">
      <selection activeCell="K34" sqref="K34"/>
    </sheetView>
  </sheetViews>
  <sheetFormatPr defaultColWidth="9.140625" defaultRowHeight="12.75"/>
  <cols>
    <col min="1" max="1" width="31.421875" style="0" customWidth="1"/>
    <col min="2" max="2" width="9.421875" style="0" customWidth="1"/>
    <col min="3" max="3" width="0" style="0" hidden="1" customWidth="1"/>
    <col min="4" max="4" width="9.421875" style="0" customWidth="1"/>
    <col min="5" max="5" width="12.28125" style="0" customWidth="1"/>
    <col min="6" max="6" width="13.140625" style="0" customWidth="1"/>
    <col min="7" max="7" width="11.7109375" style="0" customWidth="1"/>
    <col min="8" max="8" width="11.8515625" style="0" customWidth="1"/>
    <col min="9" max="9" width="12.28125" style="0" customWidth="1"/>
    <col min="10" max="10" width="13.8515625" style="0" customWidth="1"/>
    <col min="11" max="11" width="13.28125" style="0" customWidth="1"/>
  </cols>
  <sheetData>
    <row r="1" spans="1:6" ht="15" customHeight="1">
      <c r="A1" s="677" t="s">
        <v>593</v>
      </c>
      <c r="B1" s="677"/>
      <c r="C1" s="677"/>
      <c r="D1" s="677"/>
      <c r="E1" s="677"/>
      <c r="F1" s="677"/>
    </row>
    <row r="2" spans="1:6" ht="12.75">
      <c r="A2" s="9"/>
      <c r="B2" s="9"/>
      <c r="C2" s="9"/>
      <c r="D2" s="9"/>
      <c r="E2" s="9"/>
      <c r="F2" s="9"/>
    </row>
    <row r="3" spans="1:7" ht="24.75" customHeight="1">
      <c r="A3" s="679" t="s">
        <v>325</v>
      </c>
      <c r="B3" s="679"/>
      <c r="C3" s="679"/>
      <c r="D3" s="679"/>
      <c r="E3" s="679"/>
      <c r="F3" s="679"/>
      <c r="G3" s="679"/>
    </row>
    <row r="4" spans="1:6" ht="12.75">
      <c r="A4" s="9"/>
      <c r="B4" s="9"/>
      <c r="C4" s="9"/>
      <c r="D4" s="9"/>
      <c r="E4" s="9"/>
      <c r="F4" s="9"/>
    </row>
    <row r="5" spans="1:7" ht="12.75">
      <c r="A5" s="765" t="s">
        <v>594</v>
      </c>
      <c r="B5" s="765"/>
      <c r="C5" s="765"/>
      <c r="D5" s="765"/>
      <c r="E5" s="765"/>
      <c r="F5" s="765"/>
      <c r="G5" s="765"/>
    </row>
    <row r="6" spans="1:7" ht="25.5">
      <c r="A6" s="126" t="s">
        <v>595</v>
      </c>
      <c r="B6" s="126" t="s">
        <v>596</v>
      </c>
      <c r="C6" s="126"/>
      <c r="D6" s="127" t="s">
        <v>597</v>
      </c>
      <c r="E6" s="127" t="s">
        <v>598</v>
      </c>
      <c r="F6" s="126" t="s">
        <v>225</v>
      </c>
      <c r="G6" s="126" t="s">
        <v>599</v>
      </c>
    </row>
    <row r="7" spans="1:9" ht="12.75">
      <c r="A7" s="128" t="s">
        <v>600</v>
      </c>
      <c r="B7" s="129" t="s">
        <v>601</v>
      </c>
      <c r="C7" s="129"/>
      <c r="D7" s="130">
        <v>11.39</v>
      </c>
      <c r="E7" s="4">
        <f>ROUND(D7*(1+$E$75),2)</f>
        <v>14.4</v>
      </c>
      <c r="F7" s="131">
        <v>8</v>
      </c>
      <c r="G7" s="4">
        <f>E7*F7</f>
        <v>115.2</v>
      </c>
      <c r="I7" s="120"/>
    </row>
    <row r="8" spans="1:9" ht="12.75">
      <c r="A8" s="128" t="s">
        <v>602</v>
      </c>
      <c r="B8" s="129" t="s">
        <v>603</v>
      </c>
      <c r="C8" s="129"/>
      <c r="D8" s="130">
        <v>40</v>
      </c>
      <c r="E8" s="4">
        <f>ROUND(D8*(1+$E$75),2)</f>
        <v>50.56</v>
      </c>
      <c r="F8" s="129">
        <v>1</v>
      </c>
      <c r="G8" s="4">
        <f>E8*F8</f>
        <v>50.56</v>
      </c>
      <c r="I8" s="120"/>
    </row>
    <row r="9" spans="1:9" ht="12.75">
      <c r="A9" s="128" t="s">
        <v>604</v>
      </c>
      <c r="B9" s="129" t="s">
        <v>603</v>
      </c>
      <c r="C9" s="129"/>
      <c r="D9" s="130">
        <v>80</v>
      </c>
      <c r="E9" s="4">
        <f>ROUND(D9*(1+$E$75),2)</f>
        <v>101.12</v>
      </c>
      <c r="F9" s="129">
        <v>1</v>
      </c>
      <c r="G9" s="4">
        <f>E9*F9</f>
        <v>101.12</v>
      </c>
      <c r="I9" s="120"/>
    </row>
    <row r="10" spans="1:7" ht="12.75">
      <c r="A10" s="128" t="s">
        <v>605</v>
      </c>
      <c r="B10" s="129"/>
      <c r="C10" s="129"/>
      <c r="D10" s="132"/>
      <c r="E10" s="4"/>
      <c r="F10" s="129"/>
      <c r="G10" s="133">
        <f>SUM(G7:G9)</f>
        <v>266.88</v>
      </c>
    </row>
    <row r="11" spans="1:7" ht="12.75">
      <c r="A11" s="128"/>
      <c r="B11" s="129"/>
      <c r="C11" s="129"/>
      <c r="D11" s="132"/>
      <c r="E11" s="4"/>
      <c r="F11" s="129"/>
      <c r="G11" s="4">
        <f>E11*F11</f>
        <v>0</v>
      </c>
    </row>
    <row r="12" spans="1:7" ht="12.75">
      <c r="A12" s="128" t="s">
        <v>606</v>
      </c>
      <c r="B12" s="129" t="s">
        <v>601</v>
      </c>
      <c r="C12" s="129"/>
      <c r="D12" s="130">
        <v>11.39</v>
      </c>
      <c r="E12" s="4">
        <f>ROUND(D12*(1+$E$75),2)</f>
        <v>14.4</v>
      </c>
      <c r="F12" s="131">
        <v>8</v>
      </c>
      <c r="G12" s="4">
        <f>E12*F12</f>
        <v>115.2</v>
      </c>
    </row>
    <row r="13" spans="1:7" ht="12.75">
      <c r="A13" s="128" t="s">
        <v>602</v>
      </c>
      <c r="B13" s="129" t="s">
        <v>603</v>
      </c>
      <c r="C13" s="129"/>
      <c r="D13" s="130">
        <v>40</v>
      </c>
      <c r="E13" s="4">
        <f>ROUND(D13*(1+$E$75),2)</f>
        <v>50.56</v>
      </c>
      <c r="F13" s="129">
        <v>1</v>
      </c>
      <c r="G13" s="4">
        <f>E13*F13</f>
        <v>50.56</v>
      </c>
    </row>
    <row r="14" spans="1:7" ht="12.75">
      <c r="A14" s="128" t="s">
        <v>604</v>
      </c>
      <c r="B14" s="129" t="s">
        <v>603</v>
      </c>
      <c r="C14" s="129"/>
      <c r="D14" s="130">
        <v>80</v>
      </c>
      <c r="E14" s="4">
        <f>ROUND(D14*(1+$E$75),2)</f>
        <v>101.12</v>
      </c>
      <c r="F14" s="129">
        <v>1</v>
      </c>
      <c r="G14" s="4">
        <f>E14*F14</f>
        <v>101.12</v>
      </c>
    </row>
    <row r="15" spans="1:7" ht="12.75">
      <c r="A15" s="128" t="s">
        <v>607</v>
      </c>
      <c r="B15" s="129"/>
      <c r="C15" s="129"/>
      <c r="D15" s="129"/>
      <c r="E15" s="4"/>
      <c r="F15" s="129"/>
      <c r="G15" s="133">
        <f>SUM(G12:G14)</f>
        <v>266.88</v>
      </c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8" ht="12.75" customHeight="1">
      <c r="A18" s="753" t="s">
        <v>608</v>
      </c>
      <c r="B18" s="753"/>
      <c r="C18" s="753"/>
      <c r="D18" s="753"/>
      <c r="E18" s="753"/>
      <c r="F18" s="753"/>
      <c r="G18" s="753"/>
      <c r="H18" s="24"/>
    </row>
    <row r="19" spans="1:8" ht="12.75">
      <c r="A19" s="24"/>
      <c r="B19" s="24"/>
      <c r="C19" s="24"/>
      <c r="D19" s="24"/>
      <c r="E19" s="24"/>
      <c r="F19" s="24"/>
      <c r="G19" s="24"/>
      <c r="H19" s="24"/>
    </row>
    <row r="20" spans="1:8" ht="25.5" customHeight="1">
      <c r="A20" s="753" t="s">
        <v>609</v>
      </c>
      <c r="B20" s="753"/>
      <c r="C20" s="753"/>
      <c r="D20" s="753"/>
      <c r="E20" s="753"/>
      <c r="F20" s="753"/>
      <c r="G20" s="753"/>
      <c r="H20" s="8"/>
    </row>
    <row r="21" spans="1:8" ht="12.75">
      <c r="A21" s="24"/>
      <c r="B21" s="24"/>
      <c r="C21" s="24"/>
      <c r="D21" s="24"/>
      <c r="E21" s="24"/>
      <c r="F21" s="24"/>
      <c r="G21" s="5"/>
      <c r="H21" s="5"/>
    </row>
    <row r="22" spans="1:8" ht="12.75" customHeight="1">
      <c r="A22" s="753" t="s">
        <v>610</v>
      </c>
      <c r="B22" s="753"/>
      <c r="C22" s="753"/>
      <c r="D22" s="753"/>
      <c r="E22" s="753"/>
      <c r="F22" s="753"/>
      <c r="G22" s="753"/>
      <c r="H22" s="5"/>
    </row>
    <row r="23" spans="1:8" ht="12.75">
      <c r="A23" s="22"/>
      <c r="B23" s="22"/>
      <c r="C23" s="22"/>
      <c r="D23" s="22"/>
      <c r="E23" s="22"/>
      <c r="F23" s="22"/>
      <c r="G23" s="134"/>
      <c r="H23" s="5"/>
    </row>
    <row r="24" spans="1:8" ht="12.75" customHeight="1">
      <c r="A24" s="753" t="s">
        <v>611</v>
      </c>
      <c r="B24" s="753"/>
      <c r="C24" s="753"/>
      <c r="D24" s="753"/>
      <c r="E24" s="753"/>
      <c r="F24" s="753"/>
      <c r="G24" s="753"/>
      <c r="H24" s="5"/>
    </row>
    <row r="25" spans="1:8" ht="12.75">
      <c r="A25" s="10"/>
      <c r="B25" s="10"/>
      <c r="C25" s="10"/>
      <c r="D25" s="10"/>
      <c r="E25" s="10"/>
      <c r="F25" s="10"/>
      <c r="G25" s="10"/>
      <c r="H25" s="5"/>
    </row>
    <row r="26" spans="1:8" ht="12.75">
      <c r="A26" s="10"/>
      <c r="B26" s="10"/>
      <c r="C26" s="10"/>
      <c r="D26" s="10"/>
      <c r="E26" s="10"/>
      <c r="F26" s="10"/>
      <c r="G26" s="10"/>
      <c r="H26" s="5"/>
    </row>
    <row r="27" spans="1:8" ht="12.75">
      <c r="A27" s="10"/>
      <c r="B27" s="10"/>
      <c r="C27" s="10"/>
      <c r="D27" s="10"/>
      <c r="E27" s="10"/>
      <c r="F27" s="10"/>
      <c r="G27" s="10"/>
      <c r="H27" s="5"/>
    </row>
    <row r="28" spans="1:8" ht="12.75">
      <c r="A28" s="10"/>
      <c r="B28" s="10"/>
      <c r="C28" s="10"/>
      <c r="D28" s="10"/>
      <c r="E28" s="10"/>
      <c r="F28" s="10"/>
      <c r="G28" s="10"/>
      <c r="H28" s="5"/>
    </row>
    <row r="29" spans="1:8" ht="12.75">
      <c r="A29" s="10"/>
      <c r="B29" s="10"/>
      <c r="C29" s="10"/>
      <c r="D29" s="10"/>
      <c r="E29" s="10"/>
      <c r="F29" s="10"/>
      <c r="G29" s="10"/>
      <c r="H29" s="5"/>
    </row>
    <row r="30" spans="1:6" ht="12.75">
      <c r="A30" s="9"/>
      <c r="B30" s="9"/>
      <c r="C30" s="9"/>
      <c r="D30" s="9"/>
      <c r="E30" s="9"/>
      <c r="F30" s="9"/>
    </row>
    <row r="31" spans="1:6" ht="12.75">
      <c r="A31" s="9"/>
      <c r="B31" s="9"/>
      <c r="C31" s="9"/>
      <c r="D31" s="9"/>
      <c r="E31" s="9"/>
      <c r="F31" s="9"/>
    </row>
    <row r="32" spans="1:11" ht="12.75">
      <c r="A32" s="764" t="s">
        <v>612</v>
      </c>
      <c r="B32" s="764"/>
      <c r="C32" s="764"/>
      <c r="D32" s="764"/>
      <c r="E32" s="764"/>
      <c r="F32" s="764"/>
      <c r="G32" s="764"/>
      <c r="H32" s="764"/>
      <c r="I32" s="764"/>
      <c r="J32" s="764"/>
      <c r="K32" s="764"/>
    </row>
    <row r="33" spans="1:11" ht="63.75">
      <c r="A33" s="11" t="s">
        <v>326</v>
      </c>
      <c r="B33" s="135" t="s">
        <v>613</v>
      </c>
      <c r="C33" s="136"/>
      <c r="D33" s="135" t="s">
        <v>614</v>
      </c>
      <c r="E33" s="135" t="s">
        <v>615</v>
      </c>
      <c r="F33" s="135" t="s">
        <v>616</v>
      </c>
      <c r="G33" s="135" t="s">
        <v>617</v>
      </c>
      <c r="H33" s="135" t="s">
        <v>618</v>
      </c>
      <c r="I33" s="135" t="s">
        <v>619</v>
      </c>
      <c r="J33" s="135" t="s">
        <v>120</v>
      </c>
      <c r="K33" s="135" t="s">
        <v>121</v>
      </c>
    </row>
    <row r="34" spans="1:11" ht="15.75">
      <c r="A34" s="137" t="s">
        <v>327</v>
      </c>
      <c r="B34" s="6" t="s">
        <v>122</v>
      </c>
      <c r="C34" s="138"/>
      <c r="D34" s="139">
        <v>106</v>
      </c>
      <c r="E34" s="761">
        <f>ROUND(MAX(D34:D37),2)*2</f>
        <v>410</v>
      </c>
      <c r="F34" s="762">
        <f>E34/10*2.8</f>
        <v>114.8</v>
      </c>
      <c r="G34" s="759">
        <v>0</v>
      </c>
      <c r="H34" s="760">
        <f>ROUND((F34+G34)*(1+$E$75),2)</f>
        <v>145.11</v>
      </c>
      <c r="I34" s="760">
        <f>(G10+G15)*5</f>
        <v>2668.8</v>
      </c>
      <c r="J34" s="759">
        <f>(H34+$G$7+$G$12)*4</f>
        <v>1502.04</v>
      </c>
      <c r="K34" s="763">
        <f>H34+I34+J34</f>
        <v>4315.950000000001</v>
      </c>
    </row>
    <row r="35" spans="1:11" ht="15.75">
      <c r="A35" s="137" t="s">
        <v>328</v>
      </c>
      <c r="B35" s="6" t="s">
        <v>122</v>
      </c>
      <c r="C35" s="138"/>
      <c r="D35" s="139">
        <v>205</v>
      </c>
      <c r="E35" s="761"/>
      <c r="F35" s="762"/>
      <c r="G35" s="759"/>
      <c r="H35" s="760"/>
      <c r="I35" s="760"/>
      <c r="J35" s="759"/>
      <c r="K35" s="763"/>
    </row>
    <row r="36" spans="1:11" ht="15.75">
      <c r="A36" s="137" t="s">
        <v>329</v>
      </c>
      <c r="B36" s="6" t="s">
        <v>122</v>
      </c>
      <c r="C36" s="138"/>
      <c r="D36" s="139">
        <v>155</v>
      </c>
      <c r="E36" s="761"/>
      <c r="F36" s="762"/>
      <c r="G36" s="759"/>
      <c r="H36" s="760"/>
      <c r="I36" s="760"/>
      <c r="J36" s="759"/>
      <c r="K36" s="763"/>
    </row>
    <row r="37" spans="1:11" ht="15.75">
      <c r="A37" s="137" t="s">
        <v>330</v>
      </c>
      <c r="B37" s="6" t="s">
        <v>122</v>
      </c>
      <c r="C37" s="138"/>
      <c r="D37" s="139">
        <v>196</v>
      </c>
      <c r="E37" s="761"/>
      <c r="F37" s="762"/>
      <c r="G37" s="759"/>
      <c r="H37" s="760"/>
      <c r="I37" s="760"/>
      <c r="J37" s="759"/>
      <c r="K37" s="763"/>
    </row>
    <row r="38" spans="1:11" ht="15.75">
      <c r="A38" s="137" t="s">
        <v>331</v>
      </c>
      <c r="B38" s="6" t="s">
        <v>123</v>
      </c>
      <c r="C38" s="138"/>
      <c r="D38" s="139">
        <v>389</v>
      </c>
      <c r="E38" s="761">
        <f>ROUND(MAX(D38:D40),2)*2</f>
        <v>778</v>
      </c>
      <c r="F38" s="762">
        <f>E38/10*2.8</f>
        <v>217.83999999999997</v>
      </c>
      <c r="G38" s="759">
        <v>0</v>
      </c>
      <c r="H38" s="760">
        <f>ROUND(F38*(1+$E$75),2)</f>
        <v>275.35</v>
      </c>
      <c r="I38" s="760">
        <f>(G10+G15)*5</f>
        <v>2668.8</v>
      </c>
      <c r="J38" s="759">
        <f>(H38+G10+G15)*3</f>
        <v>2427.33</v>
      </c>
      <c r="K38" s="763">
        <f>H38+I38+J38</f>
        <v>5371.48</v>
      </c>
    </row>
    <row r="39" spans="1:11" ht="15.75">
      <c r="A39" s="137" t="s">
        <v>332</v>
      </c>
      <c r="B39" s="6" t="s">
        <v>123</v>
      </c>
      <c r="C39" s="138"/>
      <c r="D39" s="139">
        <v>263</v>
      </c>
      <c r="E39" s="761"/>
      <c r="F39" s="762"/>
      <c r="G39" s="759"/>
      <c r="H39" s="760"/>
      <c r="I39" s="760"/>
      <c r="J39" s="759"/>
      <c r="K39" s="763"/>
    </row>
    <row r="40" spans="1:11" ht="15.75">
      <c r="A40" s="137" t="s">
        <v>333</v>
      </c>
      <c r="B40" s="6" t="s">
        <v>123</v>
      </c>
      <c r="C40" s="138"/>
      <c r="D40" s="139">
        <v>322</v>
      </c>
      <c r="E40" s="761"/>
      <c r="F40" s="762"/>
      <c r="G40" s="759"/>
      <c r="H40" s="760"/>
      <c r="I40" s="760"/>
      <c r="J40" s="759"/>
      <c r="K40" s="763"/>
    </row>
    <row r="41" spans="1:11" ht="15.75">
      <c r="A41" s="137" t="s">
        <v>124</v>
      </c>
      <c r="B41" s="6" t="s">
        <v>125</v>
      </c>
      <c r="C41" s="138"/>
      <c r="D41" s="139">
        <v>518</v>
      </c>
      <c r="E41" s="761">
        <f>ROUND(MAX(D41:D43),2)*2</f>
        <v>1076</v>
      </c>
      <c r="F41" s="762">
        <f>E41/10*2.8</f>
        <v>301.28</v>
      </c>
      <c r="G41" s="759">
        <v>0</v>
      </c>
      <c r="H41" s="760">
        <f>ROUND(F41*(1+$E$75),2)</f>
        <v>380.82</v>
      </c>
      <c r="I41" s="760">
        <f>(G10+G15)*5</f>
        <v>2668.8</v>
      </c>
      <c r="J41" s="759">
        <f>(H41+G10+G15)*3</f>
        <v>2743.7400000000002</v>
      </c>
      <c r="K41" s="763">
        <f>H41+I41+J41</f>
        <v>5793.360000000001</v>
      </c>
    </row>
    <row r="42" spans="1:11" ht="15.75">
      <c r="A42" s="137" t="s">
        <v>334</v>
      </c>
      <c r="B42" s="6" t="s">
        <v>125</v>
      </c>
      <c r="C42" s="138"/>
      <c r="D42" s="139">
        <v>388</v>
      </c>
      <c r="E42" s="761"/>
      <c r="F42" s="762"/>
      <c r="G42" s="759"/>
      <c r="H42" s="760"/>
      <c r="I42" s="760"/>
      <c r="J42" s="759"/>
      <c r="K42" s="763"/>
    </row>
    <row r="43" spans="1:11" ht="15.75">
      <c r="A43" s="137" t="s">
        <v>126</v>
      </c>
      <c r="B43" s="6" t="s">
        <v>125</v>
      </c>
      <c r="C43" s="138"/>
      <c r="D43" s="139">
        <v>538</v>
      </c>
      <c r="E43" s="761"/>
      <c r="F43" s="762"/>
      <c r="G43" s="759"/>
      <c r="H43" s="760"/>
      <c r="I43" s="760"/>
      <c r="J43" s="759"/>
      <c r="K43" s="763"/>
    </row>
    <row r="44" spans="1:11" ht="31.5">
      <c r="A44" s="142" t="s">
        <v>127</v>
      </c>
      <c r="B44" s="143" t="s">
        <v>127</v>
      </c>
      <c r="C44" s="144"/>
      <c r="D44" s="139">
        <v>30</v>
      </c>
      <c r="E44" s="140">
        <f>D44*2</f>
        <v>60</v>
      </c>
      <c r="F44" s="145">
        <f>E44/10*2.8</f>
        <v>16.799999999999997</v>
      </c>
      <c r="G44" s="141">
        <v>0</v>
      </c>
      <c r="H44" s="132">
        <f>ROUND(F44*(1+$E$75),2)</f>
        <v>21.24</v>
      </c>
      <c r="I44" s="132">
        <f>(G7+G12)*5</f>
        <v>1152</v>
      </c>
      <c r="J44" s="141">
        <f>(H44+G7+G12)*5</f>
        <v>1258.1999999999998</v>
      </c>
      <c r="K44" s="132">
        <f>H44+I44+J44</f>
        <v>2431.4399999999996</v>
      </c>
    </row>
    <row r="45" spans="1:11" ht="15.75">
      <c r="A45" s="757" t="s">
        <v>128</v>
      </c>
      <c r="B45" s="757"/>
      <c r="C45" s="757"/>
      <c r="D45" s="757"/>
      <c r="E45" s="757"/>
      <c r="F45" s="757"/>
      <c r="G45" s="757"/>
      <c r="H45" s="111"/>
      <c r="I45" s="146"/>
      <c r="J45" s="146"/>
      <c r="K45" s="111">
        <f>SUM(K34:K44)</f>
        <v>17912.23</v>
      </c>
    </row>
    <row r="46" spans="1:11" ht="15.75">
      <c r="A46" s="757" t="s">
        <v>129</v>
      </c>
      <c r="B46" s="757"/>
      <c r="C46" s="757"/>
      <c r="D46" s="757"/>
      <c r="E46" s="757"/>
      <c r="F46" s="757"/>
      <c r="G46" s="757"/>
      <c r="H46" s="111"/>
      <c r="I46" s="146"/>
      <c r="J46" s="146"/>
      <c r="K46" s="111">
        <f>K45*3</f>
        <v>53736.69</v>
      </c>
    </row>
    <row r="47" spans="1:6" ht="12.75">
      <c r="A47" s="9"/>
      <c r="B47" s="9"/>
      <c r="C47" s="9"/>
      <c r="D47" s="9"/>
      <c r="E47" s="9"/>
      <c r="F47" s="9"/>
    </row>
    <row r="48" spans="1:6" ht="12.75">
      <c r="A48" s="9"/>
      <c r="B48" s="9"/>
      <c r="C48" s="9"/>
      <c r="D48" s="9"/>
      <c r="E48" s="9"/>
      <c r="F48" s="9"/>
    </row>
    <row r="49" spans="1:8" ht="12.75">
      <c r="A49" s="147" t="s">
        <v>322</v>
      </c>
      <c r="B49" s="148"/>
      <c r="C49" s="148"/>
      <c r="D49" s="148"/>
      <c r="E49" s="148"/>
      <c r="F49" s="148"/>
      <c r="G49" s="149"/>
      <c r="H49" s="150"/>
    </row>
    <row r="50" spans="1:8" ht="38.25" customHeight="1">
      <c r="A50" s="756" t="s">
        <v>130</v>
      </c>
      <c r="B50" s="756"/>
      <c r="C50" s="756"/>
      <c r="D50" s="756"/>
      <c r="E50" s="756"/>
      <c r="F50" s="756"/>
      <c r="G50" s="756"/>
      <c r="H50" s="756"/>
    </row>
    <row r="51" spans="1:8" ht="12.75">
      <c r="A51" s="19"/>
      <c r="B51" s="9"/>
      <c r="C51" s="9"/>
      <c r="D51" s="9"/>
      <c r="E51" s="9"/>
      <c r="F51" s="9"/>
      <c r="G51" s="15"/>
      <c r="H51" s="151"/>
    </row>
    <row r="52" spans="1:8" ht="26.25" customHeight="1">
      <c r="A52" s="758" t="s">
        <v>131</v>
      </c>
      <c r="B52" s="758"/>
      <c r="C52" s="758"/>
      <c r="D52" s="758"/>
      <c r="E52" s="758"/>
      <c r="F52" s="758"/>
      <c r="G52" s="758"/>
      <c r="H52" s="758"/>
    </row>
    <row r="53" spans="1:8" ht="12.75">
      <c r="A53" s="19"/>
      <c r="B53" s="9"/>
      <c r="C53" s="9"/>
      <c r="D53" s="9"/>
      <c r="E53" s="9"/>
      <c r="F53" s="9"/>
      <c r="G53" s="15"/>
      <c r="H53" s="151"/>
    </row>
    <row r="54" spans="1:8" ht="23.25" customHeight="1">
      <c r="A54" s="756" t="s">
        <v>338</v>
      </c>
      <c r="B54" s="756"/>
      <c r="C54" s="756"/>
      <c r="D54" s="756"/>
      <c r="E54" s="756"/>
      <c r="F54" s="756"/>
      <c r="G54" s="756"/>
      <c r="H54" s="756"/>
    </row>
    <row r="55" spans="1:8" ht="12.75" customHeight="1">
      <c r="A55" s="754" t="s">
        <v>132</v>
      </c>
      <c r="B55" s="754"/>
      <c r="C55" s="754"/>
      <c r="D55" s="754"/>
      <c r="E55" s="754"/>
      <c r="F55" s="754"/>
      <c r="G55" s="15"/>
      <c r="H55" s="151"/>
    </row>
    <row r="56" spans="1:8" ht="12.75" customHeight="1">
      <c r="A56" s="754" t="s">
        <v>133</v>
      </c>
      <c r="B56" s="754"/>
      <c r="C56" s="754"/>
      <c r="D56" s="754"/>
      <c r="E56" s="754"/>
      <c r="F56" s="754"/>
      <c r="G56" s="15"/>
      <c r="H56" s="151"/>
    </row>
    <row r="57" spans="1:8" ht="12.75" customHeight="1">
      <c r="A57" s="754" t="s">
        <v>134</v>
      </c>
      <c r="B57" s="754"/>
      <c r="C57" s="754"/>
      <c r="D57" s="754"/>
      <c r="E57" s="754"/>
      <c r="F57" s="754"/>
      <c r="G57" s="15"/>
      <c r="H57" s="151"/>
    </row>
    <row r="58" spans="1:8" ht="12.75" customHeight="1">
      <c r="A58" s="754" t="s">
        <v>135</v>
      </c>
      <c r="B58" s="754"/>
      <c r="C58" s="754"/>
      <c r="D58" s="754"/>
      <c r="E58" s="754"/>
      <c r="F58" s="754"/>
      <c r="G58" s="15"/>
      <c r="H58" s="151"/>
    </row>
    <row r="59" spans="1:8" ht="12.75">
      <c r="A59" s="754"/>
      <c r="B59" s="754"/>
      <c r="C59" s="754"/>
      <c r="D59" s="754"/>
      <c r="E59" s="754"/>
      <c r="F59" s="754"/>
      <c r="G59" s="15"/>
      <c r="H59" s="151"/>
    </row>
    <row r="60" spans="1:8" ht="12.75" customHeight="1">
      <c r="A60" s="756" t="s">
        <v>136</v>
      </c>
      <c r="B60" s="756"/>
      <c r="C60" s="756"/>
      <c r="D60" s="756"/>
      <c r="E60" s="756"/>
      <c r="F60" s="756"/>
      <c r="G60" s="756"/>
      <c r="H60" s="756"/>
    </row>
    <row r="61" spans="1:8" ht="12.75" customHeight="1">
      <c r="A61" s="754"/>
      <c r="B61" s="754"/>
      <c r="C61" s="754"/>
      <c r="D61" s="754"/>
      <c r="E61" s="754"/>
      <c r="F61" s="754"/>
      <c r="G61" s="15"/>
      <c r="H61" s="151"/>
    </row>
    <row r="62" spans="1:8" ht="12.75" customHeight="1">
      <c r="A62" s="754" t="s">
        <v>137</v>
      </c>
      <c r="B62" s="754"/>
      <c r="C62" s="754"/>
      <c r="D62" s="754"/>
      <c r="E62" s="754"/>
      <c r="F62" s="754"/>
      <c r="G62" s="15"/>
      <c r="H62" s="151"/>
    </row>
    <row r="63" spans="1:8" ht="12.75" customHeight="1">
      <c r="A63" s="755"/>
      <c r="B63" s="755"/>
      <c r="C63" s="755"/>
      <c r="D63" s="755"/>
      <c r="E63" s="755"/>
      <c r="F63" s="755"/>
      <c r="G63" s="152"/>
      <c r="H63" s="153"/>
    </row>
    <row r="64" spans="1:6" ht="12.75">
      <c r="A64" s="9"/>
      <c r="B64" s="9"/>
      <c r="C64" s="9"/>
      <c r="D64" s="9"/>
      <c r="E64" s="9"/>
      <c r="F64" s="9"/>
    </row>
    <row r="66" spans="1:5" ht="12.75">
      <c r="A66" s="154" t="s">
        <v>340</v>
      </c>
      <c r="B66" s="41"/>
      <c r="C66" s="41"/>
      <c r="D66" s="41"/>
      <c r="E66" s="155"/>
    </row>
    <row r="67" spans="1:5" ht="12.75">
      <c r="A67" s="710" t="s">
        <v>138</v>
      </c>
      <c r="B67" s="710"/>
      <c r="C67" s="710"/>
      <c r="D67" s="710"/>
      <c r="E67" s="156">
        <v>0.0725</v>
      </c>
    </row>
    <row r="68" spans="1:5" ht="12.75">
      <c r="A68" s="708" t="s">
        <v>341</v>
      </c>
      <c r="B68" s="708"/>
      <c r="C68" s="708"/>
      <c r="D68" s="708"/>
      <c r="E68" s="157">
        <v>0.05</v>
      </c>
    </row>
    <row r="69" spans="1:5" ht="12.75">
      <c r="A69" s="708" t="s">
        <v>139</v>
      </c>
      <c r="B69" s="708"/>
      <c r="C69" s="708"/>
      <c r="D69" s="708"/>
      <c r="E69" s="158">
        <f>E67/12*0</f>
        <v>0</v>
      </c>
    </row>
    <row r="70" spans="1:5" ht="12.75">
      <c r="A70" s="708" t="s">
        <v>342</v>
      </c>
      <c r="B70" s="708"/>
      <c r="C70" s="708"/>
      <c r="D70" s="708"/>
      <c r="E70" s="157">
        <v>0.1</v>
      </c>
    </row>
    <row r="71" spans="1:5" ht="12.75">
      <c r="A71" s="708" t="s">
        <v>343</v>
      </c>
      <c r="B71" s="708"/>
      <c r="C71" s="708"/>
      <c r="D71" s="708"/>
      <c r="E71" s="158">
        <f>SUM(E72:E74)</f>
        <v>0.0865</v>
      </c>
    </row>
    <row r="72" spans="1:5" ht="12.75">
      <c r="A72" s="751" t="s">
        <v>317</v>
      </c>
      <c r="B72" s="751"/>
      <c r="C72" s="751"/>
      <c r="D72" s="751"/>
      <c r="E72" s="29">
        <v>0.0065</v>
      </c>
    </row>
    <row r="73" spans="1:5" ht="12.75">
      <c r="A73" s="751" t="s">
        <v>319</v>
      </c>
      <c r="B73" s="751"/>
      <c r="C73" s="751"/>
      <c r="D73" s="751"/>
      <c r="E73" s="29">
        <v>0.03</v>
      </c>
    </row>
    <row r="74" spans="1:5" ht="12.75">
      <c r="A74" s="752" t="s">
        <v>320</v>
      </c>
      <c r="B74" s="752"/>
      <c r="C74" s="752"/>
      <c r="D74" s="752"/>
      <c r="E74" s="30">
        <v>0.05</v>
      </c>
    </row>
    <row r="75" spans="1:5" ht="12.75">
      <c r="A75" s="119" t="s">
        <v>344</v>
      </c>
      <c r="B75" s="109"/>
      <c r="C75" s="109"/>
      <c r="D75" s="109"/>
      <c r="E75" s="159">
        <f>ROUND(((1+E68)*(1+E69)*(1+E70)/(1-E71)-1),3)</f>
        <v>0.264</v>
      </c>
    </row>
    <row r="77" spans="1:5" ht="12.75" customHeight="1">
      <c r="A77" s="753" t="s">
        <v>140</v>
      </c>
      <c r="B77" s="753"/>
      <c r="C77" s="753"/>
      <c r="D77" s="753"/>
      <c r="E77" s="753"/>
    </row>
    <row r="78" spans="1:5" ht="12.75">
      <c r="A78" s="753"/>
      <c r="B78" s="753"/>
      <c r="C78" s="753"/>
      <c r="D78" s="753"/>
      <c r="E78" s="753"/>
    </row>
    <row r="80" spans="1:5" ht="12.75" customHeight="1">
      <c r="A80" s="753" t="s">
        <v>141</v>
      </c>
      <c r="B80" s="753"/>
      <c r="C80" s="753"/>
      <c r="D80" s="753"/>
      <c r="E80" s="753"/>
    </row>
  </sheetData>
  <sheetProtection selectLockedCells="1" selectUnlockedCells="1"/>
  <mergeCells count="53">
    <mergeCell ref="A20:G20"/>
    <mergeCell ref="A22:G22"/>
    <mergeCell ref="A24:G24"/>
    <mergeCell ref="A1:F1"/>
    <mergeCell ref="A3:G3"/>
    <mergeCell ref="A5:G5"/>
    <mergeCell ref="A18:G18"/>
    <mergeCell ref="A32:K32"/>
    <mergeCell ref="E34:E37"/>
    <mergeCell ref="F34:F37"/>
    <mergeCell ref="G34:G37"/>
    <mergeCell ref="H34:H37"/>
    <mergeCell ref="I34:I37"/>
    <mergeCell ref="J34:J37"/>
    <mergeCell ref="K34:K37"/>
    <mergeCell ref="K38:K40"/>
    <mergeCell ref="I41:I43"/>
    <mergeCell ref="J41:J43"/>
    <mergeCell ref="K41:K43"/>
    <mergeCell ref="I38:I40"/>
    <mergeCell ref="J38:J40"/>
    <mergeCell ref="G41:G43"/>
    <mergeCell ref="H41:H43"/>
    <mergeCell ref="G38:G40"/>
    <mergeCell ref="A54:H54"/>
    <mergeCell ref="E38:E40"/>
    <mergeCell ref="F38:F40"/>
    <mergeCell ref="E41:E43"/>
    <mergeCell ref="F41:F43"/>
    <mergeCell ref="H38:H40"/>
    <mergeCell ref="A55:F55"/>
    <mergeCell ref="A56:F56"/>
    <mergeCell ref="A57:F57"/>
    <mergeCell ref="A45:G45"/>
    <mergeCell ref="A46:G46"/>
    <mergeCell ref="A50:H50"/>
    <mergeCell ref="A52:H52"/>
    <mergeCell ref="A62:F62"/>
    <mergeCell ref="A63:F63"/>
    <mergeCell ref="A67:D67"/>
    <mergeCell ref="A68:D68"/>
    <mergeCell ref="A58:F58"/>
    <mergeCell ref="A59:F59"/>
    <mergeCell ref="A60:H60"/>
    <mergeCell ref="A61:F61"/>
    <mergeCell ref="A73:D73"/>
    <mergeCell ref="A74:D74"/>
    <mergeCell ref="A77:E78"/>
    <mergeCell ref="A80:E80"/>
    <mergeCell ref="A69:D69"/>
    <mergeCell ref="A70:D70"/>
    <mergeCell ref="A71:D71"/>
    <mergeCell ref="A72:D72"/>
  </mergeCells>
  <printOptions horizontalCentered="1"/>
  <pageMargins left="0.7875" right="0.7875" top="0.9840277777777777" bottom="0.5902777777777778" header="0.5118055555555555" footer="0.5118055555555555"/>
  <pageSetup horizontalDpi="300" verticalDpi="3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5.421875" style="469" bestFit="1" customWidth="1"/>
    <col min="2" max="2" width="57.140625" style="469" customWidth="1"/>
    <col min="3" max="3" width="9.140625" style="469" customWidth="1"/>
    <col min="4" max="4" width="7.8515625" style="469" customWidth="1"/>
    <col min="5" max="5" width="10.57421875" style="469" bestFit="1" customWidth="1"/>
    <col min="6" max="6" width="12.421875" style="499" customWidth="1"/>
    <col min="7" max="7" width="14.28125" style="499" customWidth="1"/>
    <col min="8" max="8" width="10.28125" style="469" bestFit="1" customWidth="1"/>
    <col min="9" max="9" width="9.28125" style="469" customWidth="1"/>
    <col min="10" max="16384" width="9.140625" style="469" customWidth="1"/>
  </cols>
  <sheetData>
    <row r="1" spans="1:7" ht="15.75" customHeight="1">
      <c r="A1" s="524" t="s">
        <v>24</v>
      </c>
      <c r="B1" s="524"/>
      <c r="C1" s="524"/>
      <c r="D1" s="524"/>
      <c r="E1" s="524"/>
      <c r="F1" s="524"/>
      <c r="G1" s="524"/>
    </row>
    <row r="2" spans="5:7" ht="12.75">
      <c r="E2" s="470"/>
      <c r="F2" s="471"/>
      <c r="G2" s="471"/>
    </row>
    <row r="3" spans="1:7" ht="12.75">
      <c r="A3" s="523" t="s">
        <v>1068</v>
      </c>
      <c r="B3" s="523"/>
      <c r="C3" s="523"/>
      <c r="D3" s="523"/>
      <c r="E3" s="523"/>
      <c r="F3" s="523"/>
      <c r="G3" s="523"/>
    </row>
    <row r="4" spans="1:7" ht="25.5">
      <c r="A4" s="472" t="s">
        <v>223</v>
      </c>
      <c r="B4" s="472" t="s">
        <v>224</v>
      </c>
      <c r="C4" s="472" t="s">
        <v>142</v>
      </c>
      <c r="D4" s="473"/>
      <c r="E4" s="472" t="s">
        <v>225</v>
      </c>
      <c r="F4" s="474" t="s">
        <v>994</v>
      </c>
      <c r="G4" s="474" t="s">
        <v>995</v>
      </c>
    </row>
    <row r="5" spans="1:7" ht="25.5">
      <c r="A5" s="475">
        <v>1</v>
      </c>
      <c r="B5" s="476" t="s">
        <v>226</v>
      </c>
      <c r="C5" s="476" t="s">
        <v>976</v>
      </c>
      <c r="D5" s="477" t="s">
        <v>227</v>
      </c>
      <c r="E5" s="478">
        <v>4</v>
      </c>
      <c r="F5" s="479">
        <v>79.93</v>
      </c>
      <c r="G5" s="480">
        <f aca="true" t="shared" si="0" ref="G5:G50">E5*F5</f>
        <v>319.72</v>
      </c>
    </row>
    <row r="6" spans="1:7" ht="25.5">
      <c r="A6" s="475">
        <v>2</v>
      </c>
      <c r="B6" s="476" t="s">
        <v>228</v>
      </c>
      <c r="C6" s="476" t="s">
        <v>976</v>
      </c>
      <c r="D6" s="477" t="s">
        <v>229</v>
      </c>
      <c r="E6" s="478">
        <v>4</v>
      </c>
      <c r="F6" s="479">
        <v>466.38</v>
      </c>
      <c r="G6" s="480">
        <f t="shared" si="0"/>
        <v>1865.52</v>
      </c>
    </row>
    <row r="7" spans="1:7" ht="25.5">
      <c r="A7" s="475">
        <v>3</v>
      </c>
      <c r="B7" s="476" t="s">
        <v>230</v>
      </c>
      <c r="C7" s="476" t="s">
        <v>976</v>
      </c>
      <c r="D7" s="477" t="s">
        <v>229</v>
      </c>
      <c r="E7" s="478">
        <v>4</v>
      </c>
      <c r="F7" s="479">
        <v>30.19</v>
      </c>
      <c r="G7" s="480">
        <f t="shared" si="0"/>
        <v>120.76</v>
      </c>
    </row>
    <row r="8" spans="1:7" ht="25.5">
      <c r="A8" s="475">
        <v>4</v>
      </c>
      <c r="B8" s="476" t="s">
        <v>231</v>
      </c>
      <c r="C8" s="476" t="s">
        <v>976</v>
      </c>
      <c r="D8" s="477" t="s">
        <v>229</v>
      </c>
      <c r="E8" s="478">
        <v>4</v>
      </c>
      <c r="F8" s="479">
        <v>35.3</v>
      </c>
      <c r="G8" s="480">
        <f t="shared" si="0"/>
        <v>141.2</v>
      </c>
    </row>
    <row r="9" spans="1:7" ht="25.5">
      <c r="A9" s="475">
        <v>5</v>
      </c>
      <c r="B9" s="477" t="s">
        <v>232</v>
      </c>
      <c r="C9" s="476" t="s">
        <v>985</v>
      </c>
      <c r="D9" s="477" t="s">
        <v>229</v>
      </c>
      <c r="E9" s="478">
        <v>4</v>
      </c>
      <c r="F9" s="479">
        <v>57.17</v>
      </c>
      <c r="G9" s="480">
        <f t="shared" si="0"/>
        <v>228.68</v>
      </c>
    </row>
    <row r="10" spans="1:7" ht="25.5">
      <c r="A10" s="475">
        <v>6</v>
      </c>
      <c r="B10" s="477" t="s">
        <v>233</v>
      </c>
      <c r="C10" s="476" t="s">
        <v>977</v>
      </c>
      <c r="D10" s="477" t="s">
        <v>978</v>
      </c>
      <c r="E10" s="478">
        <v>40</v>
      </c>
      <c r="F10" s="479">
        <v>6.5</v>
      </c>
      <c r="G10" s="480">
        <f t="shared" si="0"/>
        <v>260</v>
      </c>
    </row>
    <row r="11" spans="1:7" ht="25.5">
      <c r="A11" s="475">
        <v>7</v>
      </c>
      <c r="B11" s="477" t="s">
        <v>234</v>
      </c>
      <c r="C11" s="476" t="s">
        <v>976</v>
      </c>
      <c r="D11" s="477" t="s">
        <v>227</v>
      </c>
      <c r="E11" s="478">
        <v>5</v>
      </c>
      <c r="F11" s="479">
        <v>23.41</v>
      </c>
      <c r="G11" s="480">
        <f t="shared" si="0"/>
        <v>117.05</v>
      </c>
    </row>
    <row r="12" spans="1:7" ht="25.5">
      <c r="A12" s="475">
        <v>8</v>
      </c>
      <c r="B12" s="477" t="s">
        <v>235</v>
      </c>
      <c r="C12" s="476" t="s">
        <v>976</v>
      </c>
      <c r="D12" s="477" t="s">
        <v>227</v>
      </c>
      <c r="E12" s="478">
        <v>10</v>
      </c>
      <c r="F12" s="479">
        <v>5.57</v>
      </c>
      <c r="G12" s="480">
        <f t="shared" si="0"/>
        <v>55.7</v>
      </c>
    </row>
    <row r="13" spans="1:7" ht="25.5">
      <c r="A13" s="475">
        <v>9</v>
      </c>
      <c r="B13" s="477" t="s">
        <v>236</v>
      </c>
      <c r="C13" s="476" t="s">
        <v>976</v>
      </c>
      <c r="D13" s="477" t="s">
        <v>227</v>
      </c>
      <c r="E13" s="478">
        <v>10</v>
      </c>
      <c r="F13" s="479">
        <v>4.43</v>
      </c>
      <c r="G13" s="480">
        <f t="shared" si="0"/>
        <v>44.3</v>
      </c>
    </row>
    <row r="14" spans="1:7" ht="25.5">
      <c r="A14" s="475">
        <v>10</v>
      </c>
      <c r="B14" s="476" t="s">
        <v>237</v>
      </c>
      <c r="C14" s="476" t="s">
        <v>976</v>
      </c>
      <c r="D14" s="477" t="s">
        <v>227</v>
      </c>
      <c r="E14" s="478">
        <v>7</v>
      </c>
      <c r="F14" s="479">
        <v>130.88</v>
      </c>
      <c r="G14" s="480">
        <f t="shared" si="0"/>
        <v>916.16</v>
      </c>
    </row>
    <row r="15" spans="1:7" ht="25.5">
      <c r="A15" s="475">
        <v>11</v>
      </c>
      <c r="B15" s="477" t="s">
        <v>979</v>
      </c>
      <c r="C15" s="476" t="s">
        <v>976</v>
      </c>
      <c r="D15" s="477" t="s">
        <v>227</v>
      </c>
      <c r="E15" s="478">
        <v>10</v>
      </c>
      <c r="F15" s="479">
        <v>20</v>
      </c>
      <c r="G15" s="480">
        <f t="shared" si="0"/>
        <v>200</v>
      </c>
    </row>
    <row r="16" spans="1:7" ht="25.5">
      <c r="A16" s="475">
        <v>12</v>
      </c>
      <c r="B16" s="476" t="s">
        <v>238</v>
      </c>
      <c r="C16" s="476" t="s">
        <v>976</v>
      </c>
      <c r="D16" s="477" t="s">
        <v>227</v>
      </c>
      <c r="E16" s="478">
        <v>3</v>
      </c>
      <c r="F16" s="479">
        <v>139.94</v>
      </c>
      <c r="G16" s="480">
        <f t="shared" si="0"/>
        <v>419.82</v>
      </c>
    </row>
    <row r="17" spans="1:7" ht="25.5">
      <c r="A17" s="475">
        <v>13</v>
      </c>
      <c r="B17" s="476" t="s">
        <v>239</v>
      </c>
      <c r="C17" s="476" t="s">
        <v>976</v>
      </c>
      <c r="D17" s="477" t="s">
        <v>240</v>
      </c>
      <c r="E17" s="478">
        <v>3</v>
      </c>
      <c r="F17" s="479">
        <v>123.39</v>
      </c>
      <c r="G17" s="480">
        <f t="shared" si="0"/>
        <v>370.17</v>
      </c>
    </row>
    <row r="18" spans="1:7" ht="25.5">
      <c r="A18" s="475">
        <v>14</v>
      </c>
      <c r="B18" s="477" t="s">
        <v>241</v>
      </c>
      <c r="C18" s="476" t="s">
        <v>976</v>
      </c>
      <c r="D18" s="477" t="s">
        <v>240</v>
      </c>
      <c r="E18" s="478">
        <v>3</v>
      </c>
      <c r="F18" s="479">
        <v>304.73</v>
      </c>
      <c r="G18" s="480">
        <f t="shared" si="0"/>
        <v>914.19</v>
      </c>
    </row>
    <row r="19" spans="1:7" ht="38.25">
      <c r="A19" s="475">
        <v>15</v>
      </c>
      <c r="B19" s="481" t="s">
        <v>620</v>
      </c>
      <c r="C19" s="476" t="s">
        <v>976</v>
      </c>
      <c r="D19" s="477" t="s">
        <v>240</v>
      </c>
      <c r="E19" s="478">
        <f>6*8</f>
        <v>48</v>
      </c>
      <c r="F19" s="479">
        <v>12.17</v>
      </c>
      <c r="G19" s="480">
        <f t="shared" si="0"/>
        <v>584.16</v>
      </c>
    </row>
    <row r="20" spans="1:7" ht="38.25">
      <c r="A20" s="475">
        <v>16</v>
      </c>
      <c r="B20" s="481" t="s">
        <v>621</v>
      </c>
      <c r="C20" s="476" t="s">
        <v>976</v>
      </c>
      <c r="D20" s="477" t="s">
        <v>240</v>
      </c>
      <c r="E20" s="478">
        <v>48</v>
      </c>
      <c r="F20" s="479">
        <v>12.45</v>
      </c>
      <c r="G20" s="480">
        <f t="shared" si="0"/>
        <v>597.5999999999999</v>
      </c>
    </row>
    <row r="21" spans="1:7" ht="25.5">
      <c r="A21" s="475">
        <v>17</v>
      </c>
      <c r="B21" s="477" t="s">
        <v>980</v>
      </c>
      <c r="C21" s="476" t="s">
        <v>976</v>
      </c>
      <c r="D21" s="477" t="s">
        <v>227</v>
      </c>
      <c r="E21" s="478">
        <v>3</v>
      </c>
      <c r="F21" s="479">
        <v>62.5</v>
      </c>
      <c r="G21" s="480">
        <f t="shared" si="0"/>
        <v>187.5</v>
      </c>
    </row>
    <row r="22" spans="1:7" ht="25.5">
      <c r="A22" s="475">
        <v>18</v>
      </c>
      <c r="B22" s="477" t="s">
        <v>242</v>
      </c>
      <c r="C22" s="476" t="s">
        <v>976</v>
      </c>
      <c r="D22" s="477" t="s">
        <v>243</v>
      </c>
      <c r="E22" s="478">
        <v>3</v>
      </c>
      <c r="F22" s="479">
        <v>12.08</v>
      </c>
      <c r="G22" s="480">
        <f t="shared" si="0"/>
        <v>36.24</v>
      </c>
    </row>
    <row r="23" spans="1:7" ht="25.5">
      <c r="A23" s="475">
        <v>19</v>
      </c>
      <c r="B23" s="477" t="s">
        <v>244</v>
      </c>
      <c r="C23" s="476" t="s">
        <v>976</v>
      </c>
      <c r="D23" s="477" t="s">
        <v>245</v>
      </c>
      <c r="E23" s="478">
        <v>3</v>
      </c>
      <c r="F23" s="479">
        <v>10.3</v>
      </c>
      <c r="G23" s="480">
        <f t="shared" si="0"/>
        <v>30.900000000000002</v>
      </c>
    </row>
    <row r="24" spans="1:7" ht="25.5">
      <c r="A24" s="475">
        <v>20</v>
      </c>
      <c r="B24" s="477" t="s">
        <v>246</v>
      </c>
      <c r="C24" s="476" t="s">
        <v>976</v>
      </c>
      <c r="D24" s="477" t="s">
        <v>227</v>
      </c>
      <c r="E24" s="478">
        <v>3</v>
      </c>
      <c r="F24" s="479">
        <v>15</v>
      </c>
      <c r="G24" s="480">
        <f t="shared" si="0"/>
        <v>45</v>
      </c>
    </row>
    <row r="25" spans="1:7" ht="25.5">
      <c r="A25" s="475">
        <v>21</v>
      </c>
      <c r="B25" s="477" t="s">
        <v>64</v>
      </c>
      <c r="C25" s="476" t="s">
        <v>976</v>
      </c>
      <c r="D25" s="477" t="s">
        <v>227</v>
      </c>
      <c r="E25" s="478">
        <v>7</v>
      </c>
      <c r="F25" s="479">
        <v>58.78</v>
      </c>
      <c r="G25" s="480">
        <f t="shared" si="0"/>
        <v>411.46000000000004</v>
      </c>
    </row>
    <row r="26" spans="1:7" ht="25.5">
      <c r="A26" s="475">
        <v>22</v>
      </c>
      <c r="B26" s="477" t="s">
        <v>247</v>
      </c>
      <c r="C26" s="476" t="s">
        <v>976</v>
      </c>
      <c r="D26" s="477" t="s">
        <v>227</v>
      </c>
      <c r="E26" s="478">
        <v>3</v>
      </c>
      <c r="F26" s="479">
        <v>31.89</v>
      </c>
      <c r="G26" s="480">
        <f t="shared" si="0"/>
        <v>95.67</v>
      </c>
    </row>
    <row r="27" spans="1:7" ht="25.5">
      <c r="A27" s="475">
        <v>23</v>
      </c>
      <c r="B27" s="477" t="s">
        <v>989</v>
      </c>
      <c r="C27" s="476" t="s">
        <v>976</v>
      </c>
      <c r="D27" s="477" t="s">
        <v>227</v>
      </c>
      <c r="E27" s="478">
        <v>3</v>
      </c>
      <c r="F27" s="479">
        <v>546.43</v>
      </c>
      <c r="G27" s="480">
        <f t="shared" si="0"/>
        <v>1639.29</v>
      </c>
    </row>
    <row r="28" spans="1:7" ht="25.5">
      <c r="A28" s="475">
        <v>24</v>
      </c>
      <c r="B28" s="477" t="s">
        <v>248</v>
      </c>
      <c r="C28" s="476" t="s">
        <v>976</v>
      </c>
      <c r="D28" s="477" t="s">
        <v>227</v>
      </c>
      <c r="E28" s="478">
        <v>3</v>
      </c>
      <c r="F28" s="479">
        <v>271.98</v>
      </c>
      <c r="G28" s="480">
        <f t="shared" si="0"/>
        <v>815.94</v>
      </c>
    </row>
    <row r="29" spans="1:7" ht="25.5">
      <c r="A29" s="475">
        <v>25</v>
      </c>
      <c r="B29" s="477" t="s">
        <v>249</v>
      </c>
      <c r="C29" s="476" t="s">
        <v>976</v>
      </c>
      <c r="D29" s="477" t="s">
        <v>240</v>
      </c>
      <c r="E29" s="478">
        <v>3</v>
      </c>
      <c r="F29" s="479">
        <v>625.24</v>
      </c>
      <c r="G29" s="480">
        <f t="shared" si="0"/>
        <v>1875.72</v>
      </c>
    </row>
    <row r="30" spans="1:7" ht="25.5">
      <c r="A30" s="475">
        <v>26</v>
      </c>
      <c r="B30" s="477" t="s">
        <v>981</v>
      </c>
      <c r="C30" s="476" t="s">
        <v>976</v>
      </c>
      <c r="D30" s="477" t="s">
        <v>227</v>
      </c>
      <c r="E30" s="478">
        <v>3</v>
      </c>
      <c r="F30" s="479">
        <v>125.875</v>
      </c>
      <c r="G30" s="480">
        <f t="shared" si="0"/>
        <v>377.625</v>
      </c>
    </row>
    <row r="31" spans="1:7" ht="25.5">
      <c r="A31" s="475">
        <v>27</v>
      </c>
      <c r="B31" s="477" t="s">
        <v>250</v>
      </c>
      <c r="C31" s="476" t="s">
        <v>976</v>
      </c>
      <c r="D31" s="477" t="s">
        <v>227</v>
      </c>
      <c r="E31" s="478">
        <v>3</v>
      </c>
      <c r="F31" s="479">
        <v>24.27</v>
      </c>
      <c r="G31" s="480">
        <f t="shared" si="0"/>
        <v>72.81</v>
      </c>
    </row>
    <row r="32" spans="1:7" ht="25.5">
      <c r="A32" s="475">
        <v>28</v>
      </c>
      <c r="B32" s="477" t="s">
        <v>251</v>
      </c>
      <c r="C32" s="476" t="s">
        <v>976</v>
      </c>
      <c r="D32" s="477" t="s">
        <v>227</v>
      </c>
      <c r="E32" s="478">
        <v>3</v>
      </c>
      <c r="F32" s="479">
        <v>24.44</v>
      </c>
      <c r="G32" s="480">
        <f t="shared" si="0"/>
        <v>73.32000000000001</v>
      </c>
    </row>
    <row r="33" spans="1:7" ht="25.5">
      <c r="A33" s="475">
        <v>29</v>
      </c>
      <c r="B33" s="477" t="s">
        <v>252</v>
      </c>
      <c r="C33" s="476" t="s">
        <v>976</v>
      </c>
      <c r="D33" s="477" t="s">
        <v>227</v>
      </c>
      <c r="E33" s="478">
        <v>3</v>
      </c>
      <c r="F33" s="479">
        <v>676.54</v>
      </c>
      <c r="G33" s="480">
        <f t="shared" si="0"/>
        <v>2029.62</v>
      </c>
    </row>
    <row r="34" spans="1:7" ht="25.5">
      <c r="A34" s="475">
        <v>30</v>
      </c>
      <c r="B34" s="477" t="s">
        <v>253</v>
      </c>
      <c r="C34" s="476" t="s">
        <v>976</v>
      </c>
      <c r="D34" s="477" t="s">
        <v>227</v>
      </c>
      <c r="E34" s="478">
        <v>3</v>
      </c>
      <c r="F34" s="479">
        <v>20.17</v>
      </c>
      <c r="G34" s="480">
        <f t="shared" si="0"/>
        <v>60.510000000000005</v>
      </c>
    </row>
    <row r="35" spans="1:7" ht="25.5">
      <c r="A35" s="475">
        <v>31</v>
      </c>
      <c r="B35" s="477" t="s">
        <v>254</v>
      </c>
      <c r="C35" s="476" t="s">
        <v>976</v>
      </c>
      <c r="D35" s="477" t="s">
        <v>227</v>
      </c>
      <c r="E35" s="478">
        <v>3</v>
      </c>
      <c r="F35" s="479">
        <v>25.24</v>
      </c>
      <c r="G35" s="480">
        <f t="shared" si="0"/>
        <v>75.72</v>
      </c>
    </row>
    <row r="36" spans="1:7" ht="25.5">
      <c r="A36" s="475">
        <v>32</v>
      </c>
      <c r="B36" s="477" t="s">
        <v>255</v>
      </c>
      <c r="C36" s="476" t="s">
        <v>976</v>
      </c>
      <c r="D36" s="477" t="s">
        <v>227</v>
      </c>
      <c r="E36" s="478">
        <v>3</v>
      </c>
      <c r="F36" s="479">
        <v>19.68</v>
      </c>
      <c r="G36" s="480">
        <f t="shared" si="0"/>
        <v>59.04</v>
      </c>
    </row>
    <row r="37" spans="1:7" ht="25.5">
      <c r="A37" s="475">
        <v>33</v>
      </c>
      <c r="B37" s="477" t="s">
        <v>256</v>
      </c>
      <c r="C37" s="476" t="s">
        <v>976</v>
      </c>
      <c r="D37" s="477" t="s">
        <v>227</v>
      </c>
      <c r="E37" s="478">
        <v>3</v>
      </c>
      <c r="F37" s="479">
        <v>28.5</v>
      </c>
      <c r="G37" s="480">
        <f t="shared" si="0"/>
        <v>85.5</v>
      </c>
    </row>
    <row r="38" spans="1:7" ht="12.75">
      <c r="A38" s="475">
        <v>34</v>
      </c>
      <c r="B38" s="477" t="s">
        <v>257</v>
      </c>
      <c r="C38" s="477"/>
      <c r="D38" s="477" t="s">
        <v>227</v>
      </c>
      <c r="E38" s="478">
        <v>3</v>
      </c>
      <c r="F38" s="479">
        <v>11.86</v>
      </c>
      <c r="G38" s="480">
        <f t="shared" si="0"/>
        <v>35.58</v>
      </c>
    </row>
    <row r="39" spans="1:7" ht="25.5">
      <c r="A39" s="475">
        <v>35</v>
      </c>
      <c r="B39" s="477" t="s">
        <v>258</v>
      </c>
      <c r="C39" s="476" t="s">
        <v>976</v>
      </c>
      <c r="D39" s="477" t="s">
        <v>227</v>
      </c>
      <c r="E39" s="478">
        <v>3</v>
      </c>
      <c r="F39" s="479">
        <v>19.68</v>
      </c>
      <c r="G39" s="480">
        <f t="shared" si="0"/>
        <v>59.04</v>
      </c>
    </row>
    <row r="40" spans="1:7" ht="25.5">
      <c r="A40" s="475">
        <v>36</v>
      </c>
      <c r="B40" s="477" t="s">
        <v>702</v>
      </c>
      <c r="C40" s="476" t="s">
        <v>976</v>
      </c>
      <c r="D40" s="477" t="s">
        <v>227</v>
      </c>
      <c r="E40" s="478">
        <v>3</v>
      </c>
      <c r="F40" s="479">
        <v>22.63</v>
      </c>
      <c r="G40" s="480">
        <f t="shared" si="0"/>
        <v>67.89</v>
      </c>
    </row>
    <row r="41" spans="1:7" ht="25.5">
      <c r="A41" s="475">
        <v>37</v>
      </c>
      <c r="B41" s="477" t="s">
        <v>259</v>
      </c>
      <c r="C41" s="476" t="s">
        <v>976</v>
      </c>
      <c r="D41" s="477" t="s">
        <v>227</v>
      </c>
      <c r="E41" s="478">
        <v>3</v>
      </c>
      <c r="F41" s="479">
        <v>15</v>
      </c>
      <c r="G41" s="480">
        <f t="shared" si="0"/>
        <v>45</v>
      </c>
    </row>
    <row r="42" spans="1:7" ht="25.5">
      <c r="A42" s="475">
        <v>38</v>
      </c>
      <c r="B42" s="477" t="s">
        <v>260</v>
      </c>
      <c r="C42" s="476" t="s">
        <v>976</v>
      </c>
      <c r="D42" s="477" t="s">
        <v>227</v>
      </c>
      <c r="E42" s="478">
        <v>3</v>
      </c>
      <c r="F42" s="479">
        <v>23.84</v>
      </c>
      <c r="G42" s="480">
        <f t="shared" si="0"/>
        <v>71.52</v>
      </c>
    </row>
    <row r="43" spans="1:7" ht="25.5">
      <c r="A43" s="475">
        <v>39</v>
      </c>
      <c r="B43" s="477" t="s">
        <v>982</v>
      </c>
      <c r="C43" s="476" t="s">
        <v>990</v>
      </c>
      <c r="D43" s="477" t="s">
        <v>227</v>
      </c>
      <c r="E43" s="478">
        <v>3</v>
      </c>
      <c r="F43" s="479">
        <v>44.42</v>
      </c>
      <c r="G43" s="480">
        <f t="shared" si="0"/>
        <v>133.26</v>
      </c>
    </row>
    <row r="44" spans="1:7" ht="12.75">
      <c r="A44" s="475">
        <v>40</v>
      </c>
      <c r="B44" s="477" t="s">
        <v>703</v>
      </c>
      <c r="C44" s="476" t="s">
        <v>993</v>
      </c>
      <c r="D44" s="477" t="s">
        <v>229</v>
      </c>
      <c r="E44" s="478">
        <v>3</v>
      </c>
      <c r="F44" s="479">
        <v>1006.54</v>
      </c>
      <c r="G44" s="480">
        <f t="shared" si="0"/>
        <v>3019.62</v>
      </c>
    </row>
    <row r="45" spans="1:7" ht="25.5">
      <c r="A45" s="475">
        <v>41</v>
      </c>
      <c r="B45" s="476" t="s">
        <v>261</v>
      </c>
      <c r="C45" s="476" t="s">
        <v>976</v>
      </c>
      <c r="D45" s="477" t="s">
        <v>262</v>
      </c>
      <c r="E45" s="478">
        <v>4</v>
      </c>
      <c r="F45" s="479">
        <v>161.97</v>
      </c>
      <c r="G45" s="480">
        <f t="shared" si="0"/>
        <v>647.88</v>
      </c>
    </row>
    <row r="46" spans="1:7" ht="25.5">
      <c r="A46" s="475">
        <v>42</v>
      </c>
      <c r="B46" s="476" t="s">
        <v>263</v>
      </c>
      <c r="C46" s="476" t="s">
        <v>976</v>
      </c>
      <c r="D46" s="477" t="s">
        <v>229</v>
      </c>
      <c r="E46" s="478">
        <v>7</v>
      </c>
      <c r="F46" s="479">
        <v>5.28</v>
      </c>
      <c r="G46" s="480">
        <f t="shared" si="0"/>
        <v>36.96</v>
      </c>
    </row>
    <row r="47" spans="1:7" ht="12.75">
      <c r="A47" s="475">
        <v>43</v>
      </c>
      <c r="B47" s="477" t="s">
        <v>264</v>
      </c>
      <c r="C47" s="476" t="s">
        <v>993</v>
      </c>
      <c r="D47" s="477" t="s">
        <v>265</v>
      </c>
      <c r="E47" s="478">
        <v>2</v>
      </c>
      <c r="F47" s="479">
        <v>400.99</v>
      </c>
      <c r="G47" s="480">
        <f t="shared" si="0"/>
        <v>801.98</v>
      </c>
    </row>
    <row r="48" spans="1:7" ht="25.5">
      <c r="A48" s="475">
        <v>44</v>
      </c>
      <c r="B48" s="477" t="s">
        <v>266</v>
      </c>
      <c r="C48" s="476" t="s">
        <v>976</v>
      </c>
      <c r="D48" s="477" t="s">
        <v>227</v>
      </c>
      <c r="E48" s="478">
        <v>3</v>
      </c>
      <c r="F48" s="479">
        <v>22.93</v>
      </c>
      <c r="G48" s="480">
        <f t="shared" si="0"/>
        <v>68.78999999999999</v>
      </c>
    </row>
    <row r="49" spans="1:7" ht="25.5">
      <c r="A49" s="475">
        <v>45</v>
      </c>
      <c r="B49" s="477" t="s">
        <v>267</v>
      </c>
      <c r="C49" s="476" t="s">
        <v>976</v>
      </c>
      <c r="D49" s="477" t="s">
        <v>227</v>
      </c>
      <c r="E49" s="478">
        <v>3</v>
      </c>
      <c r="F49" s="479">
        <v>25.19</v>
      </c>
      <c r="G49" s="480">
        <f t="shared" si="0"/>
        <v>75.57000000000001</v>
      </c>
    </row>
    <row r="50" spans="1:7" ht="25.5">
      <c r="A50" s="475">
        <v>46</v>
      </c>
      <c r="B50" s="477" t="s">
        <v>894</v>
      </c>
      <c r="C50" s="476" t="s">
        <v>976</v>
      </c>
      <c r="D50" s="477" t="s">
        <v>227</v>
      </c>
      <c r="E50" s="478">
        <v>7</v>
      </c>
      <c r="F50" s="479">
        <v>1200</v>
      </c>
      <c r="G50" s="480">
        <f t="shared" si="0"/>
        <v>8400</v>
      </c>
    </row>
    <row r="51" spans="1:7" ht="12.75">
      <c r="A51" s="475"/>
      <c r="B51" s="519" t="s">
        <v>268</v>
      </c>
      <c r="C51" s="519"/>
      <c r="D51" s="519"/>
      <c r="E51" s="519"/>
      <c r="F51" s="482"/>
      <c r="G51" s="480">
        <f>SUM(G5:G50)</f>
        <v>28589.985</v>
      </c>
    </row>
    <row r="52" spans="1:7" ht="12.75">
      <c r="A52" s="475"/>
      <c r="B52" s="519" t="s">
        <v>269</v>
      </c>
      <c r="C52" s="519"/>
      <c r="D52" s="519"/>
      <c r="E52" s="519"/>
      <c r="F52" s="483"/>
      <c r="G52" s="484">
        <f>G51/60</f>
        <v>476.49975</v>
      </c>
    </row>
    <row r="53" spans="1:9" ht="12.75">
      <c r="A53" s="475"/>
      <c r="B53" s="519" t="s">
        <v>270</v>
      </c>
      <c r="C53" s="519"/>
      <c r="D53" s="519"/>
      <c r="E53" s="519"/>
      <c r="F53" s="482"/>
      <c r="G53" s="485">
        <f>G52*1.1</f>
        <v>524.1497250000001</v>
      </c>
      <c r="I53" s="486"/>
    </row>
    <row r="54" spans="1:9" ht="12.75">
      <c r="A54" s="475"/>
      <c r="B54" s="519" t="s">
        <v>271</v>
      </c>
      <c r="C54" s="519"/>
      <c r="D54" s="519"/>
      <c r="E54" s="519"/>
      <c r="F54" s="482"/>
      <c r="G54" s="487">
        <v>8</v>
      </c>
      <c r="I54" s="486"/>
    </row>
    <row r="55" spans="1:7" ht="12.75">
      <c r="A55" s="475"/>
      <c r="B55" s="519" t="s">
        <v>272</v>
      </c>
      <c r="C55" s="519"/>
      <c r="D55" s="519"/>
      <c r="E55" s="519"/>
      <c r="F55" s="483"/>
      <c r="G55" s="488">
        <f>G53/G54</f>
        <v>65.51871562500001</v>
      </c>
    </row>
    <row r="56" spans="1:7" s="491" customFormat="1" ht="15">
      <c r="A56" s="518"/>
      <c r="B56" s="518"/>
      <c r="C56" s="518"/>
      <c r="D56" s="518"/>
      <c r="E56" s="489"/>
      <c r="F56" s="490"/>
      <c r="G56" s="490"/>
    </row>
    <row r="57" spans="1:7" s="491" customFormat="1" ht="12.75">
      <c r="A57" s="522" t="s">
        <v>1067</v>
      </c>
      <c r="B57" s="522"/>
      <c r="C57" s="522"/>
      <c r="D57" s="522"/>
      <c r="E57" s="522"/>
      <c r="F57" s="522"/>
      <c r="G57" s="522"/>
    </row>
    <row r="58" spans="1:7" ht="38.25">
      <c r="A58" s="500" t="s">
        <v>223</v>
      </c>
      <c r="B58" s="500" t="s">
        <v>224</v>
      </c>
      <c r="C58" s="500" t="s">
        <v>142</v>
      </c>
      <c r="D58" s="500" t="s">
        <v>877</v>
      </c>
      <c r="E58" s="501" t="s">
        <v>878</v>
      </c>
      <c r="F58" s="501" t="s">
        <v>879</v>
      </c>
      <c r="G58" s="501" t="s">
        <v>880</v>
      </c>
    </row>
    <row r="59" spans="1:19" ht="25.5">
      <c r="A59" s="492">
        <v>1</v>
      </c>
      <c r="B59" s="493" t="s">
        <v>1006</v>
      </c>
      <c r="C59" s="477" t="s">
        <v>658</v>
      </c>
      <c r="D59" s="494">
        <v>21127</v>
      </c>
      <c r="E59" s="479">
        <v>3.36</v>
      </c>
      <c r="F59" s="480">
        <v>10</v>
      </c>
      <c r="G59" s="479">
        <f aca="true" t="shared" si="1" ref="G59:G74">F59*E59</f>
        <v>33.6</v>
      </c>
      <c r="H59" s="520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</row>
    <row r="60" spans="1:7" ht="25.5">
      <c r="A60" s="492">
        <v>2</v>
      </c>
      <c r="B60" s="493" t="s">
        <v>1007</v>
      </c>
      <c r="C60" s="477" t="s">
        <v>658</v>
      </c>
      <c r="D60" s="478">
        <v>404</v>
      </c>
      <c r="E60" s="479">
        <v>1.21</v>
      </c>
      <c r="F60" s="480">
        <v>2</v>
      </c>
      <c r="G60" s="479">
        <f t="shared" si="1"/>
        <v>2.42</v>
      </c>
    </row>
    <row r="61" spans="1:7" ht="12.75">
      <c r="A61" s="492">
        <v>3</v>
      </c>
      <c r="B61" s="493" t="s">
        <v>828</v>
      </c>
      <c r="C61" s="477" t="s">
        <v>12</v>
      </c>
      <c r="D61" s="478" t="s">
        <v>827</v>
      </c>
      <c r="E61" s="479">
        <v>357.45</v>
      </c>
      <c r="F61" s="480">
        <v>1</v>
      </c>
      <c r="G61" s="479">
        <f t="shared" si="1"/>
        <v>357.45</v>
      </c>
    </row>
    <row r="62" spans="1:7" ht="12.75">
      <c r="A62" s="492">
        <v>4</v>
      </c>
      <c r="B62" s="493" t="s">
        <v>1008</v>
      </c>
      <c r="C62" s="477" t="s">
        <v>658</v>
      </c>
      <c r="D62" s="478">
        <v>3143</v>
      </c>
      <c r="E62" s="479">
        <v>11.26</v>
      </c>
      <c r="F62" s="480">
        <v>3</v>
      </c>
      <c r="G62" s="479">
        <f t="shared" si="1"/>
        <v>33.78</v>
      </c>
    </row>
    <row r="63" spans="1:7" ht="25.5">
      <c r="A63" s="492">
        <v>5</v>
      </c>
      <c r="B63" s="493" t="s">
        <v>1012</v>
      </c>
      <c r="C63" s="477" t="s">
        <v>658</v>
      </c>
      <c r="D63" s="478">
        <v>11953</v>
      </c>
      <c r="E63" s="479">
        <v>4.76</v>
      </c>
      <c r="F63" s="480">
        <v>25</v>
      </c>
      <c r="G63" s="479">
        <f t="shared" si="1"/>
        <v>119</v>
      </c>
    </row>
    <row r="64" spans="1:7" ht="12.75">
      <c r="A64" s="492">
        <v>6</v>
      </c>
      <c r="B64" s="493" t="s">
        <v>1009</v>
      </c>
      <c r="C64" s="477" t="s">
        <v>658</v>
      </c>
      <c r="D64" s="494">
        <v>4229</v>
      </c>
      <c r="E64" s="479">
        <v>58.72</v>
      </c>
      <c r="F64" s="480">
        <v>2</v>
      </c>
      <c r="G64" s="479">
        <f t="shared" si="1"/>
        <v>117.44</v>
      </c>
    </row>
    <row r="65" spans="1:7" ht="12.75">
      <c r="A65" s="492">
        <v>7</v>
      </c>
      <c r="B65" s="493" t="s">
        <v>1003</v>
      </c>
      <c r="C65" s="477" t="s">
        <v>658</v>
      </c>
      <c r="D65" s="478">
        <v>119</v>
      </c>
      <c r="E65" s="479">
        <v>7.3</v>
      </c>
      <c r="F65" s="480">
        <v>3</v>
      </c>
      <c r="G65" s="479">
        <f t="shared" si="1"/>
        <v>21.9</v>
      </c>
    </row>
    <row r="66" spans="1:7" ht="12.75">
      <c r="A66" s="492">
        <v>8</v>
      </c>
      <c r="B66" s="493" t="s">
        <v>800</v>
      </c>
      <c r="C66" s="477" t="s">
        <v>12</v>
      </c>
      <c r="D66" s="478" t="s">
        <v>799</v>
      </c>
      <c r="E66" s="479">
        <v>18.06</v>
      </c>
      <c r="F66" s="480">
        <v>3</v>
      </c>
      <c r="G66" s="479">
        <f t="shared" si="1"/>
        <v>54.17999999999999</v>
      </c>
    </row>
    <row r="67" spans="1:7" ht="12.75">
      <c r="A67" s="492">
        <v>9</v>
      </c>
      <c r="B67" s="493" t="s">
        <v>1016</v>
      </c>
      <c r="C67" s="477" t="s">
        <v>658</v>
      </c>
      <c r="D67" s="478">
        <v>5065</v>
      </c>
      <c r="E67" s="479">
        <v>37.73</v>
      </c>
      <c r="F67" s="480">
        <v>1</v>
      </c>
      <c r="G67" s="479">
        <f t="shared" si="1"/>
        <v>37.73</v>
      </c>
    </row>
    <row r="68" spans="1:7" ht="25.5">
      <c r="A68" s="492">
        <v>10</v>
      </c>
      <c r="B68" s="493" t="s">
        <v>1017</v>
      </c>
      <c r="C68" s="477" t="s">
        <v>658</v>
      </c>
      <c r="D68" s="478">
        <v>5104</v>
      </c>
      <c r="E68" s="479">
        <v>71.89</v>
      </c>
      <c r="F68" s="480">
        <v>1</v>
      </c>
      <c r="G68" s="479">
        <f t="shared" si="1"/>
        <v>71.89</v>
      </c>
    </row>
    <row r="69" spans="1:7" ht="25.5">
      <c r="A69" s="492">
        <v>11</v>
      </c>
      <c r="B69" s="493" t="s">
        <v>1004</v>
      </c>
      <c r="C69" s="477" t="s">
        <v>658</v>
      </c>
      <c r="D69" s="478">
        <v>370</v>
      </c>
      <c r="E69" s="479">
        <v>80</v>
      </c>
      <c r="F69" s="480">
        <v>1</v>
      </c>
      <c r="G69" s="479">
        <f t="shared" si="1"/>
        <v>80</v>
      </c>
    </row>
    <row r="70" spans="1:7" ht="25.5">
      <c r="A70" s="492">
        <v>12</v>
      </c>
      <c r="B70" s="493" t="s">
        <v>1014</v>
      </c>
      <c r="C70" s="477" t="s">
        <v>658</v>
      </c>
      <c r="D70" s="478">
        <v>4721</v>
      </c>
      <c r="E70" s="479">
        <v>79.43</v>
      </c>
      <c r="F70" s="480">
        <v>1</v>
      </c>
      <c r="G70" s="479">
        <f t="shared" si="1"/>
        <v>79.43</v>
      </c>
    </row>
    <row r="71" spans="1:7" ht="25.5">
      <c r="A71" s="492">
        <v>13</v>
      </c>
      <c r="B71" s="493" t="s">
        <v>1010</v>
      </c>
      <c r="C71" s="477" t="s">
        <v>658</v>
      </c>
      <c r="D71" s="478">
        <v>3767</v>
      </c>
      <c r="E71" s="479">
        <v>0.69</v>
      </c>
      <c r="F71" s="480">
        <v>50</v>
      </c>
      <c r="G71" s="479">
        <f t="shared" si="1"/>
        <v>34.5</v>
      </c>
    </row>
    <row r="72" spans="1:7" ht="12.75">
      <c r="A72" s="492">
        <v>14</v>
      </c>
      <c r="B72" s="493" t="s">
        <v>862</v>
      </c>
      <c r="C72" s="477" t="s">
        <v>658</v>
      </c>
      <c r="D72" s="478" t="s">
        <v>861</v>
      </c>
      <c r="E72" s="479">
        <v>1.69</v>
      </c>
      <c r="F72" s="480">
        <v>10</v>
      </c>
      <c r="G72" s="479">
        <f t="shared" si="1"/>
        <v>16.9</v>
      </c>
    </row>
    <row r="73" spans="1:7" ht="12.75">
      <c r="A73" s="492">
        <v>15</v>
      </c>
      <c r="B73" s="493" t="s">
        <v>1018</v>
      </c>
      <c r="C73" s="477" t="s">
        <v>658</v>
      </c>
      <c r="D73" s="478">
        <v>38393</v>
      </c>
      <c r="E73" s="479">
        <v>13</v>
      </c>
      <c r="F73" s="480">
        <v>1</v>
      </c>
      <c r="G73" s="479">
        <f t="shared" si="1"/>
        <v>13</v>
      </c>
    </row>
    <row r="74" spans="1:7" ht="12.75">
      <c r="A74" s="492">
        <v>16</v>
      </c>
      <c r="B74" s="493" t="s">
        <v>1019</v>
      </c>
      <c r="C74" s="477" t="s">
        <v>658</v>
      </c>
      <c r="D74" s="478">
        <v>38390</v>
      </c>
      <c r="E74" s="479">
        <v>28.83</v>
      </c>
      <c r="F74" s="480">
        <v>1</v>
      </c>
      <c r="G74" s="479">
        <f t="shared" si="1"/>
        <v>28.83</v>
      </c>
    </row>
    <row r="75" spans="1:7" ht="12.75">
      <c r="A75" s="492">
        <v>17</v>
      </c>
      <c r="B75" s="493" t="s">
        <v>1021</v>
      </c>
      <c r="C75" s="477" t="s">
        <v>658</v>
      </c>
      <c r="D75" s="478">
        <v>5318</v>
      </c>
      <c r="E75" s="479">
        <v>18.9</v>
      </c>
      <c r="F75" s="480">
        <v>1</v>
      </c>
      <c r="G75" s="479">
        <f aca="true" t="shared" si="2" ref="G75:G86">F75*E75</f>
        <v>18.9</v>
      </c>
    </row>
    <row r="76" spans="1:7" ht="12.75">
      <c r="A76" s="492">
        <v>18</v>
      </c>
      <c r="B76" s="493" t="s">
        <v>844</v>
      </c>
      <c r="C76" s="477" t="s">
        <v>12</v>
      </c>
      <c r="D76" s="478" t="s">
        <v>843</v>
      </c>
      <c r="E76" s="479">
        <v>33.79</v>
      </c>
      <c r="F76" s="480">
        <v>1</v>
      </c>
      <c r="G76" s="479">
        <f t="shared" si="2"/>
        <v>33.79</v>
      </c>
    </row>
    <row r="77" spans="1:7" ht="12.75">
      <c r="A77" s="492">
        <v>19</v>
      </c>
      <c r="B77" s="493" t="s">
        <v>1020</v>
      </c>
      <c r="C77" s="477" t="s">
        <v>658</v>
      </c>
      <c r="D77" s="494">
        <v>39961</v>
      </c>
      <c r="E77" s="479">
        <v>20.72</v>
      </c>
      <c r="F77" s="480">
        <v>4</v>
      </c>
      <c r="G77" s="479">
        <f t="shared" si="2"/>
        <v>82.88</v>
      </c>
    </row>
    <row r="78" spans="1:7" ht="12.75">
      <c r="A78" s="492">
        <v>20</v>
      </c>
      <c r="B78" s="493" t="s">
        <v>1011</v>
      </c>
      <c r="C78" s="477" t="s">
        <v>658</v>
      </c>
      <c r="D78" s="478">
        <v>4823</v>
      </c>
      <c r="E78" s="479">
        <v>44.79</v>
      </c>
      <c r="F78" s="480">
        <v>4</v>
      </c>
      <c r="G78" s="479">
        <f t="shared" si="2"/>
        <v>179.16</v>
      </c>
    </row>
    <row r="79" spans="1:7" ht="25.5">
      <c r="A79" s="492">
        <v>21</v>
      </c>
      <c r="B79" s="493" t="s">
        <v>1002</v>
      </c>
      <c r="C79" s="477" t="s">
        <v>658</v>
      </c>
      <c r="D79" s="478">
        <v>408</v>
      </c>
      <c r="E79" s="479">
        <v>0.84</v>
      </c>
      <c r="F79" s="480">
        <v>50</v>
      </c>
      <c r="G79" s="479">
        <f t="shared" si="2"/>
        <v>42</v>
      </c>
    </row>
    <row r="80" spans="1:7" ht="38.25">
      <c r="A80" s="492">
        <v>22</v>
      </c>
      <c r="B80" s="493" t="s">
        <v>1005</v>
      </c>
      <c r="C80" s="477" t="s">
        <v>658</v>
      </c>
      <c r="D80" s="478">
        <v>11950</v>
      </c>
      <c r="E80" s="479">
        <v>0.18</v>
      </c>
      <c r="F80" s="480">
        <v>100</v>
      </c>
      <c r="G80" s="479">
        <f t="shared" si="2"/>
        <v>18</v>
      </c>
    </row>
    <row r="81" spans="1:7" ht="12.75">
      <c r="A81" s="492">
        <v>23</v>
      </c>
      <c r="B81" s="493" t="s">
        <v>806</v>
      </c>
      <c r="C81" s="477" t="s">
        <v>12</v>
      </c>
      <c r="D81" s="478" t="s">
        <v>805</v>
      </c>
      <c r="E81" s="479">
        <v>1.82</v>
      </c>
      <c r="F81" s="480">
        <v>3</v>
      </c>
      <c r="G81" s="479">
        <f t="shared" si="2"/>
        <v>5.46</v>
      </c>
    </row>
    <row r="82" spans="1:7" ht="12.75">
      <c r="A82" s="492">
        <v>24</v>
      </c>
      <c r="B82" s="493" t="s">
        <v>804</v>
      </c>
      <c r="C82" s="477" t="s">
        <v>12</v>
      </c>
      <c r="D82" s="478" t="s">
        <v>803</v>
      </c>
      <c r="E82" s="479">
        <v>3.12</v>
      </c>
      <c r="F82" s="480">
        <v>4</v>
      </c>
      <c r="G82" s="479">
        <f>F82*E82</f>
        <v>12.48</v>
      </c>
    </row>
    <row r="83" spans="1:7" ht="12.75">
      <c r="A83" s="492">
        <v>25</v>
      </c>
      <c r="B83" s="493" t="s">
        <v>810</v>
      </c>
      <c r="C83" s="477" t="s">
        <v>658</v>
      </c>
      <c r="D83" s="478" t="s">
        <v>809</v>
      </c>
      <c r="E83" s="479">
        <v>0.77</v>
      </c>
      <c r="F83" s="480">
        <v>5</v>
      </c>
      <c r="G83" s="479">
        <f>F83*E83</f>
        <v>3.85</v>
      </c>
    </row>
    <row r="84" spans="1:7" ht="12.75">
      <c r="A84" s="492">
        <v>26</v>
      </c>
      <c r="B84" s="493" t="s">
        <v>812</v>
      </c>
      <c r="C84" s="477" t="s">
        <v>658</v>
      </c>
      <c r="D84" s="478" t="s">
        <v>811</v>
      </c>
      <c r="E84" s="479">
        <v>23.21</v>
      </c>
      <c r="F84" s="480">
        <v>1</v>
      </c>
      <c r="G84" s="479">
        <f>F84*E84</f>
        <v>23.21</v>
      </c>
    </row>
    <row r="85" spans="1:7" ht="12.75">
      <c r="A85" s="492">
        <v>27</v>
      </c>
      <c r="B85" s="493" t="s">
        <v>860</v>
      </c>
      <c r="C85" s="477" t="s">
        <v>658</v>
      </c>
      <c r="D85" s="478" t="s">
        <v>859</v>
      </c>
      <c r="E85" s="479">
        <v>0.23</v>
      </c>
      <c r="F85" s="480">
        <v>50</v>
      </c>
      <c r="G85" s="479">
        <f>F85*E85</f>
        <v>11.5</v>
      </c>
    </row>
    <row r="86" spans="1:7" ht="12.75">
      <c r="A86" s="492">
        <v>28</v>
      </c>
      <c r="B86" s="493" t="s">
        <v>802</v>
      </c>
      <c r="C86" s="477" t="s">
        <v>12</v>
      </c>
      <c r="D86" s="478" t="s">
        <v>801</v>
      </c>
      <c r="E86" s="479">
        <v>16.16</v>
      </c>
      <c r="F86" s="480">
        <v>1</v>
      </c>
      <c r="G86" s="479">
        <f t="shared" si="2"/>
        <v>16.16</v>
      </c>
    </row>
    <row r="87" spans="1:7" ht="12.75">
      <c r="A87" s="492">
        <v>29</v>
      </c>
      <c r="B87" s="493" t="s">
        <v>1015</v>
      </c>
      <c r="C87" s="477" t="s">
        <v>658</v>
      </c>
      <c r="D87" s="478">
        <v>38386</v>
      </c>
      <c r="E87" s="479">
        <v>4.2</v>
      </c>
      <c r="F87" s="480">
        <v>1</v>
      </c>
      <c r="G87" s="479">
        <f>F87*E87</f>
        <v>4.2</v>
      </c>
    </row>
    <row r="88" spans="1:7" ht="39" thickBot="1">
      <c r="A88" s="492">
        <v>30</v>
      </c>
      <c r="B88" s="493" t="s">
        <v>1013</v>
      </c>
      <c r="C88" s="477" t="s">
        <v>658</v>
      </c>
      <c r="D88" s="478">
        <v>20078</v>
      </c>
      <c r="E88" s="479">
        <v>23.18</v>
      </c>
      <c r="F88" s="480">
        <v>1</v>
      </c>
      <c r="G88" s="479">
        <f>F88*E88</f>
        <v>23.18</v>
      </c>
    </row>
    <row r="89" spans="1:8" ht="13.5" thickBot="1">
      <c r="A89" s="512" t="s">
        <v>881</v>
      </c>
      <c r="B89" s="513"/>
      <c r="C89" s="513"/>
      <c r="D89" s="513"/>
      <c r="E89" s="513"/>
      <c r="F89" s="513"/>
      <c r="G89" s="495">
        <f>SUM(G59:G88)</f>
        <v>1576.8200000000002</v>
      </c>
      <c r="H89" s="496"/>
    </row>
    <row r="90" spans="1:7" ht="13.5" thickBot="1">
      <c r="A90" s="514" t="s">
        <v>883</v>
      </c>
      <c r="B90" s="515"/>
      <c r="C90" s="515"/>
      <c r="D90" s="515"/>
      <c r="E90" s="515"/>
      <c r="F90" s="515"/>
      <c r="G90" s="497">
        <v>8</v>
      </c>
    </row>
    <row r="91" spans="1:7" ht="13.5" thickBot="1">
      <c r="A91" s="516" t="s">
        <v>882</v>
      </c>
      <c r="B91" s="517"/>
      <c r="C91" s="517"/>
      <c r="D91" s="517"/>
      <c r="E91" s="517"/>
      <c r="F91" s="517"/>
      <c r="G91" s="498">
        <f>G89/G90</f>
        <v>197.10250000000002</v>
      </c>
    </row>
  </sheetData>
  <sheetProtection selectLockedCells="1" selectUnlockedCells="1"/>
  <mergeCells count="13">
    <mergeCell ref="B51:E51"/>
    <mergeCell ref="B52:E52"/>
    <mergeCell ref="B53:E53"/>
    <mergeCell ref="B54:E54"/>
    <mergeCell ref="A3:G3"/>
    <mergeCell ref="A1:G1"/>
    <mergeCell ref="A89:F89"/>
    <mergeCell ref="A90:F90"/>
    <mergeCell ref="A91:F91"/>
    <mergeCell ref="A56:D56"/>
    <mergeCell ref="B55:E55"/>
    <mergeCell ref="H59:S59"/>
    <mergeCell ref="A57:G57"/>
  </mergeCells>
  <printOptions/>
  <pageMargins left="0.25" right="0.25" top="0.75" bottom="0.75" header="0.3" footer="0.3"/>
  <pageSetup fitToHeight="3" fitToWidth="1" orientation="portrait" paperSize="9" scale="86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P48"/>
  <sheetViews>
    <sheetView view="pageBreakPreview" zoomScaleSheetLayoutView="100" zoomScalePageLayoutView="0" workbookViewId="0" topLeftCell="A1">
      <selection activeCell="J31" sqref="J31:O35"/>
    </sheetView>
  </sheetViews>
  <sheetFormatPr defaultColWidth="9.140625" defaultRowHeight="12.75"/>
  <cols>
    <col min="1" max="1" width="4.00390625" style="0" customWidth="1"/>
    <col min="3" max="3" width="26.57421875" style="0" customWidth="1"/>
    <col min="4" max="4" width="9.28125" style="0" customWidth="1"/>
    <col min="5" max="5" width="2.140625" style="0" customWidth="1"/>
    <col min="7" max="7" width="26.7109375" style="0" customWidth="1"/>
    <col min="9" max="9" width="3.00390625" style="0" customWidth="1"/>
    <col min="11" max="11" width="26.7109375" style="0" customWidth="1"/>
    <col min="13" max="13" width="2.140625" style="0" customWidth="1"/>
    <col min="15" max="15" width="25.28125" style="0" customWidth="1"/>
  </cols>
  <sheetData>
    <row r="2" spans="2:12" ht="15.75">
      <c r="B2" s="526" t="s">
        <v>1069</v>
      </c>
      <c r="C2" s="527"/>
      <c r="D2" s="527"/>
      <c r="J2" s="526" t="s">
        <v>1069</v>
      </c>
      <c r="K2" s="527"/>
      <c r="L2" s="527"/>
    </row>
    <row r="3" spans="2:12" ht="15.75">
      <c r="B3" s="528" t="s">
        <v>25</v>
      </c>
      <c r="C3" s="529"/>
      <c r="D3" s="529"/>
      <c r="J3" s="528" t="s">
        <v>25</v>
      </c>
      <c r="K3" s="529"/>
      <c r="L3" s="529"/>
    </row>
    <row r="4" spans="2:4" ht="12.75">
      <c r="B4" s="187"/>
      <c r="C4" s="187"/>
      <c r="D4" s="187"/>
    </row>
    <row r="5" spans="2:16" ht="15.75">
      <c r="B5" s="532" t="s">
        <v>738</v>
      </c>
      <c r="C5" s="533"/>
      <c r="D5" s="533"/>
      <c r="F5" s="530" t="s">
        <v>740</v>
      </c>
      <c r="G5" s="531"/>
      <c r="H5" s="531"/>
      <c r="J5" s="532" t="s">
        <v>739</v>
      </c>
      <c r="K5" s="533"/>
      <c r="L5" s="533"/>
      <c r="N5" s="532" t="s">
        <v>743</v>
      </c>
      <c r="O5" s="533"/>
      <c r="P5" s="533"/>
    </row>
    <row r="6" spans="2:16" ht="15.75">
      <c r="B6" s="188" t="s">
        <v>627</v>
      </c>
      <c r="C6" s="189" t="s">
        <v>628</v>
      </c>
      <c r="D6" s="188" t="s">
        <v>629</v>
      </c>
      <c r="F6" s="188" t="s">
        <v>627</v>
      </c>
      <c r="G6" s="189" t="s">
        <v>628</v>
      </c>
      <c r="H6" s="188" t="s">
        <v>629</v>
      </c>
      <c r="J6" s="188" t="s">
        <v>627</v>
      </c>
      <c r="K6" s="189" t="s">
        <v>628</v>
      </c>
      <c r="L6" s="188" t="s">
        <v>629</v>
      </c>
      <c r="N6" s="188" t="s">
        <v>627</v>
      </c>
      <c r="O6" s="189" t="s">
        <v>628</v>
      </c>
      <c r="P6" s="188" t="s">
        <v>629</v>
      </c>
    </row>
    <row r="7" spans="2:16" ht="15.75">
      <c r="B7" s="190" t="s">
        <v>630</v>
      </c>
      <c r="C7" s="191" t="s">
        <v>631</v>
      </c>
      <c r="D7" s="192"/>
      <c r="F7" s="190" t="s">
        <v>630</v>
      </c>
      <c r="G7" s="191" t="s">
        <v>631</v>
      </c>
      <c r="H7" s="192"/>
      <c r="J7" s="190" t="s">
        <v>630</v>
      </c>
      <c r="K7" s="191" t="s">
        <v>631</v>
      </c>
      <c r="L7" s="192"/>
      <c r="N7" s="190" t="s">
        <v>630</v>
      </c>
      <c r="O7" s="191" t="s">
        <v>631</v>
      </c>
      <c r="P7" s="192"/>
    </row>
    <row r="8" spans="2:16" ht="15.75">
      <c r="B8" s="197"/>
      <c r="C8" s="198" t="s">
        <v>649</v>
      </c>
      <c r="D8" s="199">
        <f>(1+D9)*(1+SUM(D10:D11))*(1+D12)-1</f>
        <v>0.09117690499999997</v>
      </c>
      <c r="F8" s="197"/>
      <c r="G8" s="198" t="s">
        <v>649</v>
      </c>
      <c r="H8" s="199">
        <f>(1+H9)*(1+SUM(H10:H11))*(1+H12)-1</f>
        <v>0.09117690499999997</v>
      </c>
      <c r="J8" s="197"/>
      <c r="K8" s="198" t="s">
        <v>649</v>
      </c>
      <c r="L8" s="199">
        <f>(1+L9)*(1+SUM(L10:L11))*(1+L12)-1</f>
        <v>0.09117690499999997</v>
      </c>
      <c r="N8" s="197"/>
      <c r="O8" s="198" t="s">
        <v>649</v>
      </c>
      <c r="P8" s="199">
        <f>(1+P9)*(1+SUM(P10:P11))*(1+P12)-1</f>
        <v>0.09117690499999997</v>
      </c>
    </row>
    <row r="9" spans="2:16" ht="15.75">
      <c r="B9" s="193" t="s">
        <v>555</v>
      </c>
      <c r="C9" s="191" t="s">
        <v>632</v>
      </c>
      <c r="D9" s="438">
        <v>0.07</v>
      </c>
      <c r="F9" s="193" t="s">
        <v>555</v>
      </c>
      <c r="G9" s="191" t="s">
        <v>632</v>
      </c>
      <c r="H9" s="194">
        <f aca="true" t="shared" si="0" ref="H9:H15">D9</f>
        <v>0.07</v>
      </c>
      <c r="J9" s="193" t="s">
        <v>555</v>
      </c>
      <c r="K9" s="191" t="s">
        <v>632</v>
      </c>
      <c r="L9" s="194">
        <f>H9</f>
        <v>0.07</v>
      </c>
      <c r="N9" s="193" t="s">
        <v>555</v>
      </c>
      <c r="O9" s="191" t="s">
        <v>632</v>
      </c>
      <c r="P9" s="194">
        <f>L9</f>
        <v>0.07</v>
      </c>
    </row>
    <row r="10" spans="2:16" ht="15.75">
      <c r="B10" s="193" t="s">
        <v>633</v>
      </c>
      <c r="C10" s="195" t="s">
        <v>634</v>
      </c>
      <c r="D10" s="194">
        <f>0.36%+0.21%</f>
        <v>0.0057</v>
      </c>
      <c r="F10" s="193" t="s">
        <v>633</v>
      </c>
      <c r="G10" s="195" t="s">
        <v>634</v>
      </c>
      <c r="H10" s="194">
        <f t="shared" si="0"/>
        <v>0.0057</v>
      </c>
      <c r="J10" s="193" t="s">
        <v>633</v>
      </c>
      <c r="K10" s="195" t="s">
        <v>634</v>
      </c>
      <c r="L10" s="194">
        <f aca="true" t="shared" si="1" ref="L10:L15">H10</f>
        <v>0.0057</v>
      </c>
      <c r="N10" s="193" t="s">
        <v>633</v>
      </c>
      <c r="O10" s="195" t="s">
        <v>634</v>
      </c>
      <c r="P10" s="194">
        <f aca="true" t="shared" si="2" ref="P10:P15">L10</f>
        <v>0.0057</v>
      </c>
    </row>
    <row r="11" spans="2:16" ht="15.75">
      <c r="B11" s="193" t="s">
        <v>556</v>
      </c>
      <c r="C11" s="195" t="s">
        <v>635</v>
      </c>
      <c r="D11" s="194">
        <v>0.0065</v>
      </c>
      <c r="F11" s="193" t="s">
        <v>556</v>
      </c>
      <c r="G11" s="195" t="s">
        <v>635</v>
      </c>
      <c r="H11" s="194">
        <f t="shared" si="0"/>
        <v>0.0065</v>
      </c>
      <c r="J11" s="193" t="s">
        <v>556</v>
      </c>
      <c r="K11" s="195" t="s">
        <v>635</v>
      </c>
      <c r="L11" s="194">
        <f t="shared" si="1"/>
        <v>0.0065</v>
      </c>
      <c r="N11" s="193" t="s">
        <v>556</v>
      </c>
      <c r="O11" s="195" t="s">
        <v>635</v>
      </c>
      <c r="P11" s="194">
        <f t="shared" si="2"/>
        <v>0.0065</v>
      </c>
    </row>
    <row r="12" spans="2:16" ht="15.75">
      <c r="B12" s="193" t="s">
        <v>557</v>
      </c>
      <c r="C12" s="191" t="s">
        <v>636</v>
      </c>
      <c r="D12" s="194">
        <v>0.0075</v>
      </c>
      <c r="F12" s="193" t="s">
        <v>557</v>
      </c>
      <c r="G12" s="191" t="s">
        <v>636</v>
      </c>
      <c r="H12" s="194">
        <f t="shared" si="0"/>
        <v>0.0075</v>
      </c>
      <c r="J12" s="193" t="s">
        <v>557</v>
      </c>
      <c r="K12" s="191" t="s">
        <v>636</v>
      </c>
      <c r="L12" s="194">
        <f t="shared" si="1"/>
        <v>0.0075</v>
      </c>
      <c r="N12" s="193" t="s">
        <v>557</v>
      </c>
      <c r="O12" s="191" t="s">
        <v>636</v>
      </c>
      <c r="P12" s="194">
        <f t="shared" si="2"/>
        <v>0.0075</v>
      </c>
    </row>
    <row r="13" spans="2:16" ht="15.75">
      <c r="B13" s="193" t="s">
        <v>558</v>
      </c>
      <c r="C13" s="195" t="s">
        <v>637</v>
      </c>
      <c r="D13" s="438">
        <v>0.0825</v>
      </c>
      <c r="F13" s="193" t="s">
        <v>558</v>
      </c>
      <c r="G13" s="195" t="s">
        <v>637</v>
      </c>
      <c r="H13" s="194">
        <f t="shared" si="0"/>
        <v>0.0825</v>
      </c>
      <c r="J13" s="193" t="s">
        <v>558</v>
      </c>
      <c r="K13" s="195" t="s">
        <v>637</v>
      </c>
      <c r="L13" s="194">
        <f t="shared" si="1"/>
        <v>0.0825</v>
      </c>
      <c r="N13" s="193" t="s">
        <v>558</v>
      </c>
      <c r="O13" s="195" t="s">
        <v>637</v>
      </c>
      <c r="P13" s="194">
        <f t="shared" si="2"/>
        <v>0.0825</v>
      </c>
    </row>
    <row r="14" spans="2:16" ht="15.75">
      <c r="B14" s="193" t="s">
        <v>638</v>
      </c>
      <c r="C14" s="195" t="s">
        <v>639</v>
      </c>
      <c r="D14" s="194">
        <v>0.0065</v>
      </c>
      <c r="F14" s="193" t="s">
        <v>638</v>
      </c>
      <c r="G14" s="195" t="s">
        <v>639</v>
      </c>
      <c r="H14" s="194">
        <f t="shared" si="0"/>
        <v>0.0065</v>
      </c>
      <c r="J14" s="193" t="s">
        <v>638</v>
      </c>
      <c r="K14" s="195" t="s">
        <v>639</v>
      </c>
      <c r="L14" s="194">
        <f t="shared" si="1"/>
        <v>0.0065</v>
      </c>
      <c r="N14" s="193" t="s">
        <v>638</v>
      </c>
      <c r="O14" s="195" t="s">
        <v>639</v>
      </c>
      <c r="P14" s="194">
        <f t="shared" si="2"/>
        <v>0.0065</v>
      </c>
    </row>
    <row r="15" spans="2:16" ht="15.75">
      <c r="B15" s="193" t="s">
        <v>640</v>
      </c>
      <c r="C15" s="195" t="s">
        <v>641</v>
      </c>
      <c r="D15" s="194">
        <v>0.03</v>
      </c>
      <c r="F15" s="193" t="s">
        <v>640</v>
      </c>
      <c r="G15" s="195" t="s">
        <v>641</v>
      </c>
      <c r="H15" s="194">
        <f t="shared" si="0"/>
        <v>0.03</v>
      </c>
      <c r="J15" s="193" t="s">
        <v>640</v>
      </c>
      <c r="K15" s="195" t="s">
        <v>641</v>
      </c>
      <c r="L15" s="194">
        <f t="shared" si="1"/>
        <v>0.03</v>
      </c>
      <c r="N15" s="193" t="s">
        <v>640</v>
      </c>
      <c r="O15" s="195" t="s">
        <v>641</v>
      </c>
      <c r="P15" s="194">
        <f t="shared" si="2"/>
        <v>0.03</v>
      </c>
    </row>
    <row r="16" spans="2:16" ht="15.75">
      <c r="B16" s="193" t="s">
        <v>642</v>
      </c>
      <c r="C16" s="195" t="s">
        <v>643</v>
      </c>
      <c r="D16" s="194">
        <v>0.05</v>
      </c>
      <c r="F16" s="193" t="s">
        <v>642</v>
      </c>
      <c r="G16" s="195" t="s">
        <v>643</v>
      </c>
      <c r="H16" s="194">
        <v>0.04</v>
      </c>
      <c r="J16" s="193" t="s">
        <v>642</v>
      </c>
      <c r="K16" s="195" t="s">
        <v>643</v>
      </c>
      <c r="L16" s="194">
        <v>0.03</v>
      </c>
      <c r="N16" s="193" t="s">
        <v>642</v>
      </c>
      <c r="O16" s="195" t="s">
        <v>643</v>
      </c>
      <c r="P16" s="194">
        <v>0.02</v>
      </c>
    </row>
    <row r="17" spans="2:16" ht="31.5">
      <c r="B17" s="193" t="s">
        <v>644</v>
      </c>
      <c r="C17" s="191" t="s">
        <v>645</v>
      </c>
      <c r="D17" s="438">
        <v>0</v>
      </c>
      <c r="F17" s="193" t="s">
        <v>644</v>
      </c>
      <c r="G17" s="191" t="s">
        <v>645</v>
      </c>
      <c r="H17" s="194">
        <f>D17</f>
        <v>0</v>
      </c>
      <c r="J17" s="193" t="s">
        <v>644</v>
      </c>
      <c r="K17" s="191" t="s">
        <v>645</v>
      </c>
      <c r="L17" s="194">
        <f>D17</f>
        <v>0</v>
      </c>
      <c r="N17" s="193" t="s">
        <v>644</v>
      </c>
      <c r="O17" s="191" t="s">
        <v>645</v>
      </c>
      <c r="P17" s="194">
        <f>D17</f>
        <v>0</v>
      </c>
    </row>
    <row r="18" spans="2:16" ht="15.75">
      <c r="B18" s="190" t="s">
        <v>646</v>
      </c>
      <c r="C18" s="191" t="s">
        <v>647</v>
      </c>
      <c r="D18" s="196">
        <f>(1+D9)*(1+SUM(D10:D11))*(1+D12)*(1+D13)/(1-SUM(D14:D17))-1</f>
        <v>0.293047618678161</v>
      </c>
      <c r="F18" s="190" t="s">
        <v>646</v>
      </c>
      <c r="G18" s="191" t="s">
        <v>647</v>
      </c>
      <c r="H18" s="196">
        <f>(1+H9)*(1+SUM(H10:H11))*(1+H12)*(1+H13)/(1-SUM(H14:H17))-1</f>
        <v>0.27904602020844615</v>
      </c>
      <c r="J18" s="190" t="s">
        <v>646</v>
      </c>
      <c r="K18" s="191" t="s">
        <v>647</v>
      </c>
      <c r="L18" s="196">
        <f>(1+L9)*(1+SUM(L10:L11))*(1+L12)*(1+L13)/(1-SUM(L14:L17))-1</f>
        <v>0.2653444024236744</v>
      </c>
      <c r="N18" s="190" t="s">
        <v>646</v>
      </c>
      <c r="O18" s="191" t="s">
        <v>647</v>
      </c>
      <c r="P18" s="196">
        <f>(1+P9)*(1+SUM(P10:P11))*(1+P12)*(1+P13)/(1-SUM(P14:P17))-1</f>
        <v>0.2519332269872814</v>
      </c>
    </row>
    <row r="19" spans="2:16" ht="15.75" customHeight="1">
      <c r="B19" s="534" t="s">
        <v>741</v>
      </c>
      <c r="C19" s="535"/>
      <c r="D19" s="536"/>
      <c r="F19" s="534" t="s">
        <v>742</v>
      </c>
      <c r="G19" s="535"/>
      <c r="H19" s="536"/>
      <c r="J19" s="534" t="s">
        <v>778</v>
      </c>
      <c r="K19" s="535"/>
      <c r="L19" s="536"/>
      <c r="N19" s="534" t="s">
        <v>779</v>
      </c>
      <c r="O19" s="535"/>
      <c r="P19" s="536"/>
    </row>
    <row r="20" spans="2:16" ht="36" customHeight="1">
      <c r="B20" s="537"/>
      <c r="C20" s="538"/>
      <c r="D20" s="539"/>
      <c r="F20" s="537"/>
      <c r="G20" s="538"/>
      <c r="H20" s="539"/>
      <c r="J20" s="537"/>
      <c r="K20" s="538"/>
      <c r="L20" s="539"/>
      <c r="N20" s="537"/>
      <c r="O20" s="538"/>
      <c r="P20" s="539"/>
    </row>
    <row r="21" spans="2:16" ht="15.75">
      <c r="B21" s="360"/>
      <c r="C21" s="361"/>
      <c r="D21" s="362"/>
      <c r="F21" s="360"/>
      <c r="G21" s="361"/>
      <c r="H21" s="362"/>
      <c r="J21" s="360"/>
      <c r="K21" s="361"/>
      <c r="L21" s="362"/>
      <c r="N21" s="360"/>
      <c r="O21" s="361"/>
      <c r="P21" s="362"/>
    </row>
    <row r="23" spans="2:4" ht="15.75">
      <c r="B23" s="540" t="s">
        <v>648</v>
      </c>
      <c r="C23" s="531"/>
      <c r="D23" s="531"/>
    </row>
    <row r="24" spans="2:15" ht="15.75" customHeight="1">
      <c r="B24" s="188" t="s">
        <v>627</v>
      </c>
      <c r="C24" s="189" t="s">
        <v>628</v>
      </c>
      <c r="D24" s="188" t="s">
        <v>629</v>
      </c>
      <c r="J24" s="541" t="s">
        <v>714</v>
      </c>
      <c r="K24" s="541"/>
      <c r="L24" s="541"/>
      <c r="M24" s="541"/>
      <c r="N24" s="541"/>
      <c r="O24" s="541"/>
    </row>
    <row r="25" spans="2:15" ht="15.75">
      <c r="B25" s="190" t="s">
        <v>630</v>
      </c>
      <c r="C25" s="191" t="s">
        <v>631</v>
      </c>
      <c r="D25" s="192"/>
      <c r="J25" s="541"/>
      <c r="K25" s="541"/>
      <c r="L25" s="541"/>
      <c r="M25" s="541"/>
      <c r="N25" s="541"/>
      <c r="O25" s="541"/>
    </row>
    <row r="26" spans="2:15" ht="15.75">
      <c r="B26" s="197"/>
      <c r="C26" s="198" t="s">
        <v>649</v>
      </c>
      <c r="D26" s="199">
        <f>(1+D27)*(1+SUM(D28:D29))*(1+D30)-1</f>
        <v>0.08199878150000006</v>
      </c>
      <c r="J26" s="541"/>
      <c r="K26" s="541"/>
      <c r="L26" s="541"/>
      <c r="M26" s="541"/>
      <c r="N26" s="541"/>
      <c r="O26" s="541"/>
    </row>
    <row r="27" spans="2:15" ht="15.75">
      <c r="B27" s="193" t="s">
        <v>555</v>
      </c>
      <c r="C27" s="191" t="s">
        <v>632</v>
      </c>
      <c r="D27" s="194">
        <v>0.061</v>
      </c>
      <c r="J27" s="541"/>
      <c r="K27" s="541"/>
      <c r="L27" s="541"/>
      <c r="M27" s="541"/>
      <c r="N27" s="541"/>
      <c r="O27" s="541"/>
    </row>
    <row r="28" spans="2:15" ht="15.75">
      <c r="B28" s="193" t="s">
        <v>633</v>
      </c>
      <c r="C28" s="195" t="s">
        <v>634</v>
      </c>
      <c r="D28" s="194">
        <f>0.36%+0.21%</f>
        <v>0.0057</v>
      </c>
      <c r="J28" s="541"/>
      <c r="K28" s="541"/>
      <c r="L28" s="541"/>
      <c r="M28" s="541"/>
      <c r="N28" s="541"/>
      <c r="O28" s="541"/>
    </row>
    <row r="29" spans="2:4" ht="15.75">
      <c r="B29" s="193" t="s">
        <v>556</v>
      </c>
      <c r="C29" s="195" t="s">
        <v>635</v>
      </c>
      <c r="D29" s="194">
        <v>0.0065</v>
      </c>
    </row>
    <row r="30" spans="2:4" ht="15.75">
      <c r="B30" s="193" t="s">
        <v>557</v>
      </c>
      <c r="C30" s="191" t="s">
        <v>636</v>
      </c>
      <c r="D30" s="194">
        <v>0.0075</v>
      </c>
    </row>
    <row r="31" spans="2:15" ht="18.75" customHeight="1">
      <c r="B31" s="193" t="s">
        <v>558</v>
      </c>
      <c r="C31" s="195" t="s">
        <v>637</v>
      </c>
      <c r="D31" s="194">
        <v>0.065</v>
      </c>
      <c r="J31" s="525" t="s">
        <v>983</v>
      </c>
      <c r="K31" s="525"/>
      <c r="L31" s="525"/>
      <c r="M31" s="525"/>
      <c r="N31" s="525"/>
      <c r="O31" s="525"/>
    </row>
    <row r="32" spans="2:15" ht="15.75">
      <c r="B32" s="193" t="s">
        <v>638</v>
      </c>
      <c r="C32" s="195" t="s">
        <v>639</v>
      </c>
      <c r="D32" s="194">
        <f>D14</f>
        <v>0.0065</v>
      </c>
      <c r="J32" s="525"/>
      <c r="K32" s="525"/>
      <c r="L32" s="525"/>
      <c r="M32" s="525"/>
      <c r="N32" s="525"/>
      <c r="O32" s="525"/>
    </row>
    <row r="33" spans="2:15" ht="15.75">
      <c r="B33" s="193" t="s">
        <v>640</v>
      </c>
      <c r="C33" s="195" t="s">
        <v>641</v>
      </c>
      <c r="D33" s="194">
        <v>0.03</v>
      </c>
      <c r="J33" s="525"/>
      <c r="K33" s="525"/>
      <c r="L33" s="525"/>
      <c r="M33" s="525"/>
      <c r="N33" s="525"/>
      <c r="O33" s="525"/>
    </row>
    <row r="34" spans="2:15" ht="31.5">
      <c r="B34" s="193" t="s">
        <v>642</v>
      </c>
      <c r="C34" s="191" t="s">
        <v>645</v>
      </c>
      <c r="D34" s="194">
        <f>D17</f>
        <v>0</v>
      </c>
      <c r="J34" s="525"/>
      <c r="K34" s="525"/>
      <c r="L34" s="525"/>
      <c r="M34" s="525"/>
      <c r="N34" s="525"/>
      <c r="O34" s="525"/>
    </row>
    <row r="35" spans="2:15" ht="15.75">
      <c r="B35" s="190" t="s">
        <v>646</v>
      </c>
      <c r="C35" s="191" t="s">
        <v>647</v>
      </c>
      <c r="D35" s="196">
        <f>(1+D27)*(1+SUM(D28:D29))*(1+D30)*(1+D31)/(1-SUM(D32:D34))-1</f>
        <v>0.1959820470134923</v>
      </c>
      <c r="J35" s="525"/>
      <c r="K35" s="525"/>
      <c r="L35" s="525"/>
      <c r="M35" s="525"/>
      <c r="N35" s="525"/>
      <c r="O35" s="525"/>
    </row>
    <row r="39" ht="13.5" thickBot="1"/>
    <row r="40" spans="10:16" ht="34.5" thickBot="1">
      <c r="J40" s="363" t="s">
        <v>746</v>
      </c>
      <c r="K40" s="364" t="s">
        <v>748</v>
      </c>
      <c r="L40" s="446" t="s">
        <v>747</v>
      </c>
      <c r="N40" s="363" t="s">
        <v>746</v>
      </c>
      <c r="O40" s="364" t="s">
        <v>748</v>
      </c>
      <c r="P40" s="446" t="s">
        <v>747</v>
      </c>
    </row>
    <row r="41" spans="10:16" ht="90.75" thickBot="1">
      <c r="J41" s="365" t="s">
        <v>749</v>
      </c>
      <c r="K41" s="368" t="s">
        <v>750</v>
      </c>
      <c r="L41" s="366">
        <v>0.05</v>
      </c>
      <c r="N41" s="365" t="s">
        <v>764</v>
      </c>
      <c r="O41" s="368" t="s">
        <v>765</v>
      </c>
      <c r="P41" s="366">
        <v>0.05</v>
      </c>
    </row>
    <row r="42" spans="10:16" ht="60.75" thickBot="1">
      <c r="J42" s="365" t="s">
        <v>751</v>
      </c>
      <c r="K42" s="369" t="s">
        <v>752</v>
      </c>
      <c r="L42" s="366">
        <v>0.05</v>
      </c>
      <c r="N42" s="365" t="s">
        <v>766</v>
      </c>
      <c r="O42" s="368" t="s">
        <v>767</v>
      </c>
      <c r="P42" s="366">
        <v>0.02</v>
      </c>
    </row>
    <row r="43" spans="10:16" ht="60.75" thickBot="1">
      <c r="J43" s="365" t="s">
        <v>745</v>
      </c>
      <c r="K43" s="368" t="s">
        <v>753</v>
      </c>
      <c r="L43" s="366">
        <v>0.02</v>
      </c>
      <c r="N43" s="365" t="s">
        <v>768</v>
      </c>
      <c r="O43" s="368" t="s">
        <v>769</v>
      </c>
      <c r="P43" s="367">
        <v>0.04</v>
      </c>
    </row>
    <row r="44" spans="10:16" ht="60.75" thickBot="1">
      <c r="J44" s="365" t="s">
        <v>754</v>
      </c>
      <c r="K44" s="368" t="s">
        <v>755</v>
      </c>
      <c r="L44" s="366">
        <v>0.03</v>
      </c>
      <c r="N44" s="365" t="s">
        <v>770</v>
      </c>
      <c r="O44" s="368" t="s">
        <v>771</v>
      </c>
      <c r="P44" s="366">
        <v>0.05</v>
      </c>
    </row>
    <row r="45" spans="10:16" ht="189.75" customHeight="1" thickBot="1">
      <c r="J45" s="365" t="s">
        <v>756</v>
      </c>
      <c r="K45" s="368" t="s">
        <v>757</v>
      </c>
      <c r="L45" s="366">
        <v>0.03</v>
      </c>
      <c r="N45" s="365" t="s">
        <v>772</v>
      </c>
      <c r="O45" s="368" t="s">
        <v>773</v>
      </c>
      <c r="P45" s="366">
        <v>0.03</v>
      </c>
    </row>
    <row r="46" spans="10:16" ht="75.75" thickBot="1">
      <c r="J46" s="365" t="s">
        <v>758</v>
      </c>
      <c r="K46" s="368" t="s">
        <v>759</v>
      </c>
      <c r="L46" s="366">
        <v>0.05</v>
      </c>
      <c r="N46" s="365" t="s">
        <v>774</v>
      </c>
      <c r="O46" s="368" t="s">
        <v>775</v>
      </c>
      <c r="P46" s="366">
        <v>0.05</v>
      </c>
    </row>
    <row r="47" spans="10:16" ht="60.75" thickBot="1">
      <c r="J47" s="365" t="s">
        <v>760</v>
      </c>
      <c r="K47" s="368" t="s">
        <v>761</v>
      </c>
      <c r="L47" s="366">
        <v>0.03</v>
      </c>
      <c r="N47" s="365" t="s">
        <v>776</v>
      </c>
      <c r="O47" s="368" t="s">
        <v>777</v>
      </c>
      <c r="P47" s="366">
        <v>0.05</v>
      </c>
    </row>
    <row r="48" spans="10:12" ht="60.75" thickBot="1">
      <c r="J48" s="365" t="s">
        <v>762</v>
      </c>
      <c r="K48" s="368" t="s">
        <v>763</v>
      </c>
      <c r="L48" s="366">
        <v>0.05</v>
      </c>
    </row>
  </sheetData>
  <sheetProtection/>
  <mergeCells count="15">
    <mergeCell ref="B2:D2"/>
    <mergeCell ref="B3:D3"/>
    <mergeCell ref="B5:D5"/>
    <mergeCell ref="B23:D23"/>
    <mergeCell ref="B19:D20"/>
    <mergeCell ref="J24:O28"/>
    <mergeCell ref="J31:O35"/>
    <mergeCell ref="J2:L2"/>
    <mergeCell ref="J3:L3"/>
    <mergeCell ref="F5:H5"/>
    <mergeCell ref="J5:L5"/>
    <mergeCell ref="N5:P5"/>
    <mergeCell ref="F19:H20"/>
    <mergeCell ref="J19:L20"/>
    <mergeCell ref="N19:P20"/>
  </mergeCells>
  <hyperlinks>
    <hyperlink ref="K42" r:id="rId1" display="https://issadmin.sefin.fortaleza.ce.gov.br/grpfor/pagesPublic/atividadeCPBS/consultarAtividadeCPBS.seam"/>
  </hyperlinks>
  <printOptions/>
  <pageMargins left="0.511811024" right="0.511811024" top="0.787401575" bottom="0.787401575" header="0.31496062" footer="0.31496062"/>
  <pageSetup orientation="portrait" paperSize="9" scale="98" r:id="rId2"/>
  <rowBreaks count="1" manualBreakCount="1">
    <brk id="39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5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4.8515625" style="0" customWidth="1"/>
    <col min="2" max="2" width="59.28125" style="0" customWidth="1"/>
    <col min="3" max="3" width="26.57421875" style="0" customWidth="1"/>
    <col min="4" max="4" width="21.421875" style="0" customWidth="1"/>
    <col min="5" max="5" width="14.421875" style="0" customWidth="1"/>
    <col min="6" max="6" width="18.57421875" style="0" customWidth="1"/>
  </cols>
  <sheetData>
    <row r="1" spans="1:6" ht="15.75">
      <c r="A1" s="256" t="s">
        <v>65</v>
      </c>
      <c r="B1" s="256"/>
      <c r="C1" s="256"/>
      <c r="D1" s="256"/>
      <c r="E1" s="256"/>
      <c r="F1" s="345"/>
    </row>
    <row r="2" spans="1:6" ht="15.75">
      <c r="A2" s="256" t="s">
        <v>66</v>
      </c>
      <c r="B2" s="256"/>
      <c r="C2" s="256"/>
      <c r="D2" s="256"/>
      <c r="E2" s="256"/>
      <c r="F2" s="345"/>
    </row>
    <row r="3" spans="1:6" ht="15.75">
      <c r="A3" s="256" t="s">
        <v>970</v>
      </c>
      <c r="B3" s="256"/>
      <c r="C3" s="256"/>
      <c r="D3" s="256"/>
      <c r="E3" s="256"/>
      <c r="F3" s="345"/>
    </row>
    <row r="4" spans="1:6" ht="15.75">
      <c r="A4" s="672" t="s">
        <v>1061</v>
      </c>
      <c r="B4" s="672"/>
      <c r="C4" s="672"/>
      <c r="D4" s="672"/>
      <c r="E4" s="672"/>
      <c r="F4" s="345"/>
    </row>
    <row r="5" spans="1:6" ht="15.75">
      <c r="A5" s="260"/>
      <c r="B5" s="260"/>
      <c r="C5" s="260"/>
      <c r="D5" s="260"/>
      <c r="E5" s="260"/>
      <c r="F5" s="345"/>
    </row>
    <row r="6" spans="1:6" ht="15.75">
      <c r="A6" s="562" t="s">
        <v>67</v>
      </c>
      <c r="B6" s="563"/>
      <c r="C6" s="563"/>
      <c r="D6" s="563"/>
      <c r="E6" s="564"/>
      <c r="F6" s="345"/>
    </row>
    <row r="7" spans="1:6" ht="15.75">
      <c r="A7" s="261" t="s">
        <v>273</v>
      </c>
      <c r="B7" s="556" t="s">
        <v>274</v>
      </c>
      <c r="C7" s="557"/>
      <c r="D7" s="557"/>
      <c r="E7" s="262"/>
      <c r="F7" s="345"/>
    </row>
    <row r="8" spans="1:6" ht="15.75">
      <c r="A8" s="261" t="s">
        <v>275</v>
      </c>
      <c r="B8" s="556" t="s">
        <v>276</v>
      </c>
      <c r="C8" s="557"/>
      <c r="D8" s="557"/>
      <c r="E8" s="405" t="s">
        <v>969</v>
      </c>
      <c r="F8" s="345"/>
    </row>
    <row r="9" spans="1:6" ht="15.75">
      <c r="A9" s="261" t="s">
        <v>277</v>
      </c>
      <c r="B9" s="553" t="s">
        <v>895</v>
      </c>
      <c r="C9" s="554"/>
      <c r="D9" s="554"/>
      <c r="E9" s="263">
        <v>2022</v>
      </c>
      <c r="F9" s="345"/>
    </row>
    <row r="10" spans="1:6" ht="15.75">
      <c r="A10" s="261" t="s">
        <v>286</v>
      </c>
      <c r="B10" s="556" t="s">
        <v>278</v>
      </c>
      <c r="C10" s="557"/>
      <c r="D10" s="557"/>
      <c r="E10" s="263">
        <v>12</v>
      </c>
      <c r="F10" s="345"/>
    </row>
    <row r="11" spans="1:6" ht="15.75">
      <c r="A11" s="289"/>
      <c r="B11" s="400"/>
      <c r="C11" s="400"/>
      <c r="D11" s="400"/>
      <c r="E11" s="403"/>
      <c r="F11" s="345"/>
    </row>
    <row r="12" spans="1:6" ht="15.75">
      <c r="A12" s="289"/>
      <c r="B12" s="400"/>
      <c r="C12" s="400"/>
      <c r="D12" s="400"/>
      <c r="E12" s="403"/>
      <c r="F12" s="345"/>
    </row>
    <row r="13" spans="1:6" ht="15.75">
      <c r="A13" s="624" t="s">
        <v>896</v>
      </c>
      <c r="B13" s="625"/>
      <c r="C13" s="625"/>
      <c r="D13" s="625"/>
      <c r="E13" s="626"/>
      <c r="F13" s="345"/>
    </row>
    <row r="14" spans="1:6" ht="15.75">
      <c r="A14" s="407" t="s">
        <v>273</v>
      </c>
      <c r="B14" s="666" t="s">
        <v>68</v>
      </c>
      <c r="C14" s="667"/>
      <c r="D14" s="668"/>
      <c r="E14" s="274" t="s">
        <v>69</v>
      </c>
      <c r="F14" s="345"/>
    </row>
    <row r="15" spans="1:6" ht="15.75">
      <c r="A15" s="261" t="s">
        <v>275</v>
      </c>
      <c r="B15" s="271" t="s">
        <v>72</v>
      </c>
      <c r="C15" s="272"/>
      <c r="D15" s="273"/>
      <c r="E15" s="274" t="s">
        <v>69</v>
      </c>
      <c r="F15" s="345"/>
    </row>
    <row r="16" spans="1:6" ht="15.75">
      <c r="A16" s="261" t="s">
        <v>277</v>
      </c>
      <c r="B16" s="408" t="s">
        <v>897</v>
      </c>
      <c r="C16" s="409"/>
      <c r="D16" s="410"/>
      <c r="E16" s="435" t="s">
        <v>973</v>
      </c>
      <c r="F16" s="345"/>
    </row>
    <row r="17" spans="1:6" ht="30">
      <c r="A17" s="261" t="s">
        <v>286</v>
      </c>
      <c r="B17" s="556" t="s">
        <v>279</v>
      </c>
      <c r="C17" s="557"/>
      <c r="D17" s="558"/>
      <c r="E17" s="317" t="s">
        <v>70</v>
      </c>
      <c r="F17" s="345"/>
    </row>
    <row r="18" spans="1:6" ht="15.75">
      <c r="A18" s="411" t="s">
        <v>289</v>
      </c>
      <c r="B18" s="267" t="s">
        <v>71</v>
      </c>
      <c r="C18" s="268"/>
      <c r="D18" s="269"/>
      <c r="E18" s="433">
        <v>1794.13</v>
      </c>
      <c r="F18" s="345"/>
    </row>
    <row r="19" spans="1:6" ht="15.75">
      <c r="A19" s="261" t="s">
        <v>290</v>
      </c>
      <c r="B19" s="271" t="s">
        <v>280</v>
      </c>
      <c r="C19" s="272"/>
      <c r="D19" s="273"/>
      <c r="E19" s="275" t="s">
        <v>1057</v>
      </c>
      <c r="F19" s="345"/>
    </row>
    <row r="20" spans="1:6" ht="15.75">
      <c r="A20" s="261" t="s">
        <v>296</v>
      </c>
      <c r="B20" s="556" t="s">
        <v>73</v>
      </c>
      <c r="C20" s="557"/>
      <c r="D20" s="558"/>
      <c r="E20" s="263">
        <v>3</v>
      </c>
      <c r="F20" s="345"/>
    </row>
    <row r="21" spans="1:6" ht="15.75">
      <c r="A21" s="264"/>
      <c r="B21" s="265"/>
      <c r="C21" s="265"/>
      <c r="D21" s="265"/>
      <c r="E21" s="266"/>
      <c r="F21" s="345"/>
    </row>
    <row r="22" spans="1:6" ht="35.25" customHeight="1">
      <c r="A22" s="669" t="s">
        <v>74</v>
      </c>
      <c r="B22" s="670"/>
      <c r="C22" s="671"/>
      <c r="D22" s="425" t="s">
        <v>76</v>
      </c>
      <c r="E22" s="412" t="s">
        <v>282</v>
      </c>
      <c r="F22" s="345"/>
    </row>
    <row r="23" spans="1:6" ht="15.75">
      <c r="A23" s="261" t="s">
        <v>273</v>
      </c>
      <c r="B23" s="279" t="s">
        <v>899</v>
      </c>
      <c r="C23" s="280"/>
      <c r="D23" s="281"/>
      <c r="E23" s="270">
        <v>1794.13</v>
      </c>
      <c r="F23" s="345"/>
    </row>
    <row r="24" spans="1:6" ht="15.75">
      <c r="A24" s="261" t="s">
        <v>275</v>
      </c>
      <c r="B24" s="279" t="s">
        <v>75</v>
      </c>
      <c r="C24" s="280"/>
      <c r="D24" s="282">
        <v>0.3</v>
      </c>
      <c r="E24" s="270">
        <f>ROUND((E23*D24),2)</f>
        <v>538.24</v>
      </c>
      <c r="F24" s="345"/>
    </row>
    <row r="25" spans="1:6" ht="15.75">
      <c r="A25" s="654" t="s">
        <v>900</v>
      </c>
      <c r="B25" s="655"/>
      <c r="C25" s="655"/>
      <c r="D25" s="655"/>
      <c r="E25" s="656"/>
      <c r="F25" s="345"/>
    </row>
    <row r="26" spans="1:6" ht="15.75">
      <c r="A26" s="261" t="s">
        <v>277</v>
      </c>
      <c r="B26" s="271" t="s">
        <v>901</v>
      </c>
      <c r="C26" s="272"/>
      <c r="D26" s="281"/>
      <c r="E26" s="270">
        <f>E23+E24</f>
        <v>2332.37</v>
      </c>
      <c r="F26" s="345"/>
    </row>
    <row r="27" spans="1:6" ht="15.75">
      <c r="A27" s="264"/>
      <c r="B27" s="283"/>
      <c r="C27" s="264"/>
      <c r="D27" s="284"/>
      <c r="E27" s="285"/>
      <c r="F27" s="345"/>
    </row>
    <row r="28" spans="1:6" ht="15.75">
      <c r="A28" s="264"/>
      <c r="B28" s="283"/>
      <c r="C28" s="264"/>
      <c r="D28" s="284"/>
      <c r="E28" s="285"/>
      <c r="F28" s="345"/>
    </row>
    <row r="29" spans="1:6" ht="35.25" customHeight="1">
      <c r="A29" s="663" t="s">
        <v>902</v>
      </c>
      <c r="B29" s="664"/>
      <c r="C29" s="665"/>
      <c r="D29" s="413" t="s">
        <v>76</v>
      </c>
      <c r="E29" s="412" t="s">
        <v>282</v>
      </c>
      <c r="F29" s="345"/>
    </row>
    <row r="30" spans="1:6" ht="15.75">
      <c r="A30" s="562" t="s">
        <v>903</v>
      </c>
      <c r="B30" s="563"/>
      <c r="C30" s="563"/>
      <c r="D30" s="563"/>
      <c r="E30" s="564"/>
      <c r="F30" s="345"/>
    </row>
    <row r="31" spans="1:6" ht="15.75">
      <c r="A31" s="414" t="s">
        <v>561</v>
      </c>
      <c r="B31" s="297" t="s">
        <v>904</v>
      </c>
      <c r="C31" s="299"/>
      <c r="D31" s="300" t="s">
        <v>281</v>
      </c>
      <c r="E31" s="301" t="s">
        <v>577</v>
      </c>
      <c r="F31" s="345"/>
    </row>
    <row r="32" spans="1:6" ht="15.75">
      <c r="A32" s="302" t="s">
        <v>273</v>
      </c>
      <c r="B32" s="303" t="s">
        <v>305</v>
      </c>
      <c r="C32" s="304"/>
      <c r="D32" s="305">
        <v>0.0833</v>
      </c>
      <c r="E32" s="270">
        <f>ROUND((E26*D32),2)</f>
        <v>194.29</v>
      </c>
      <c r="F32" s="345"/>
    </row>
    <row r="33" spans="1:6" ht="15.75">
      <c r="A33" s="654" t="s">
        <v>82</v>
      </c>
      <c r="B33" s="655"/>
      <c r="C33" s="655"/>
      <c r="D33" s="655"/>
      <c r="E33" s="656"/>
      <c r="F33" s="345"/>
    </row>
    <row r="34" spans="1:6" ht="15.75">
      <c r="A34" s="307" t="s">
        <v>275</v>
      </c>
      <c r="B34" s="308" t="s">
        <v>905</v>
      </c>
      <c r="C34" s="309"/>
      <c r="D34" s="415">
        <v>0.121</v>
      </c>
      <c r="E34" s="292">
        <f>ROUND((E26*D34),2)</f>
        <v>282.22</v>
      </c>
      <c r="F34" s="345"/>
    </row>
    <row r="35" spans="1:6" ht="15.75">
      <c r="A35" s="590" t="s">
        <v>906</v>
      </c>
      <c r="B35" s="591"/>
      <c r="C35" s="591"/>
      <c r="D35" s="591"/>
      <c r="E35" s="592"/>
      <c r="F35" s="345"/>
    </row>
    <row r="36" spans="1:6" ht="15.75">
      <c r="A36" s="662" t="s">
        <v>907</v>
      </c>
      <c r="B36" s="662"/>
      <c r="C36" s="662"/>
      <c r="D36" s="662"/>
      <c r="E36" s="270">
        <f>ROUND((E32+E34),2)</f>
        <v>476.51</v>
      </c>
      <c r="F36" s="345"/>
    </row>
    <row r="37" spans="1:6" ht="15.75">
      <c r="A37" s="306"/>
      <c r="B37" s="306"/>
      <c r="C37" s="306"/>
      <c r="D37" s="306"/>
      <c r="E37" s="285"/>
      <c r="F37" s="345"/>
    </row>
    <row r="38" spans="1:6" ht="15.75">
      <c r="A38" s="306"/>
      <c r="B38" s="306"/>
      <c r="C38" s="306"/>
      <c r="D38" s="306"/>
      <c r="E38" s="285"/>
      <c r="F38" s="345"/>
    </row>
    <row r="39" spans="1:6" ht="15.75">
      <c r="A39" s="660" t="s">
        <v>908</v>
      </c>
      <c r="B39" s="660"/>
      <c r="C39" s="660"/>
      <c r="D39" s="660"/>
      <c r="E39" s="660"/>
      <c r="F39" s="345"/>
    </row>
    <row r="40" spans="1:6" ht="15.75">
      <c r="A40" s="261" t="s">
        <v>273</v>
      </c>
      <c r="B40" s="552" t="s">
        <v>318</v>
      </c>
      <c r="C40" s="552"/>
      <c r="D40" s="447">
        <v>0.2</v>
      </c>
      <c r="E40" s="270">
        <f>ROUND((($E$26+$E$36)*D40),2)</f>
        <v>561.78</v>
      </c>
      <c r="F40" s="345"/>
    </row>
    <row r="41" spans="1:6" ht="15.75">
      <c r="A41" s="261" t="s">
        <v>275</v>
      </c>
      <c r="B41" s="552" t="s">
        <v>79</v>
      </c>
      <c r="C41" s="552"/>
      <c r="D41" s="416">
        <v>0.015</v>
      </c>
      <c r="E41" s="270">
        <f aca="true" t="shared" si="0" ref="E41:E48">ROUND((($E$26+$E$36)*D41),2)</f>
        <v>42.13</v>
      </c>
      <c r="F41" s="345"/>
    </row>
    <row r="42" spans="1:6" ht="15.75">
      <c r="A42" s="261" t="s">
        <v>277</v>
      </c>
      <c r="B42" s="552" t="s">
        <v>80</v>
      </c>
      <c r="C42" s="552"/>
      <c r="D42" s="416">
        <v>0.01</v>
      </c>
      <c r="E42" s="270">
        <f t="shared" si="0"/>
        <v>28.09</v>
      </c>
      <c r="F42" s="345"/>
    </row>
    <row r="43" spans="1:6" ht="15.75">
      <c r="A43" s="261" t="s">
        <v>286</v>
      </c>
      <c r="B43" s="552" t="s">
        <v>293</v>
      </c>
      <c r="C43" s="552"/>
      <c r="D43" s="416">
        <v>0.002</v>
      </c>
      <c r="E43" s="270">
        <f t="shared" si="0"/>
        <v>5.62</v>
      </c>
      <c r="F43" s="345"/>
    </row>
    <row r="44" spans="1:6" ht="15.75">
      <c r="A44" s="261" t="s">
        <v>289</v>
      </c>
      <c r="B44" s="552" t="s">
        <v>294</v>
      </c>
      <c r="C44" s="552"/>
      <c r="D44" s="416">
        <v>0.025</v>
      </c>
      <c r="E44" s="270">
        <f t="shared" si="0"/>
        <v>70.22</v>
      </c>
      <c r="F44" s="345"/>
    </row>
    <row r="45" spans="1:6" ht="15.75">
      <c r="A45" s="296" t="s">
        <v>290</v>
      </c>
      <c r="B45" s="552" t="s">
        <v>295</v>
      </c>
      <c r="C45" s="552"/>
      <c r="D45" s="416">
        <v>0.08</v>
      </c>
      <c r="E45" s="270">
        <f t="shared" si="0"/>
        <v>224.71</v>
      </c>
      <c r="F45" s="345"/>
    </row>
    <row r="46" spans="1:6" ht="15.75">
      <c r="A46" s="296" t="s">
        <v>296</v>
      </c>
      <c r="B46" s="659" t="s">
        <v>81</v>
      </c>
      <c r="C46" s="659"/>
      <c r="D46" s="416">
        <v>0.06</v>
      </c>
      <c r="E46" s="270">
        <f t="shared" si="0"/>
        <v>168.53</v>
      </c>
      <c r="F46" s="345"/>
    </row>
    <row r="47" spans="1:6" ht="15.75">
      <c r="A47" s="296" t="s">
        <v>297</v>
      </c>
      <c r="B47" s="552" t="s">
        <v>298</v>
      </c>
      <c r="C47" s="552"/>
      <c r="D47" s="259">
        <v>0.006</v>
      </c>
      <c r="E47" s="270">
        <f t="shared" si="0"/>
        <v>16.85</v>
      </c>
      <c r="F47" s="345"/>
    </row>
    <row r="48" spans="1:6" ht="15.75">
      <c r="A48" s="659" t="s">
        <v>909</v>
      </c>
      <c r="B48" s="659"/>
      <c r="C48" s="659"/>
      <c r="D48" s="259">
        <f>SUM(D40:D47)</f>
        <v>0.3980000000000001</v>
      </c>
      <c r="E48" s="270">
        <f t="shared" si="0"/>
        <v>1117.93</v>
      </c>
      <c r="F48" s="345"/>
    </row>
    <row r="49" spans="1:6" ht="15.75">
      <c r="A49" s="659" t="s">
        <v>910</v>
      </c>
      <c r="B49" s="659"/>
      <c r="C49" s="659"/>
      <c r="D49" s="659"/>
      <c r="E49" s="659"/>
      <c r="F49" s="345"/>
    </row>
    <row r="50" spans="1:6" ht="15.75">
      <c r="A50" s="346"/>
      <c r="B50" s="346"/>
      <c r="C50" s="346"/>
      <c r="D50" s="346"/>
      <c r="E50" s="346"/>
      <c r="F50" s="345"/>
    </row>
    <row r="51" spans="1:6" ht="15.75">
      <c r="A51" s="346"/>
      <c r="B51" s="346"/>
      <c r="C51" s="346"/>
      <c r="D51" s="347"/>
      <c r="E51" s="285"/>
      <c r="F51" s="345"/>
    </row>
    <row r="52" spans="1:5" ht="15">
      <c r="A52" s="660" t="s">
        <v>911</v>
      </c>
      <c r="B52" s="660"/>
      <c r="C52" s="660"/>
      <c r="D52" s="660"/>
      <c r="E52" s="660"/>
    </row>
    <row r="53" spans="1:5" ht="15">
      <c r="A53" s="279" t="s">
        <v>273</v>
      </c>
      <c r="B53" s="279" t="s">
        <v>284</v>
      </c>
      <c r="C53" s="288">
        <v>0.06</v>
      </c>
      <c r="D53" s="270">
        <v>3.9</v>
      </c>
      <c r="E53" s="270">
        <f>IF(ROUND((D53*2*21-C53*E23),2)&lt;0,0,ROUND((D53*2*21-C53*E23),2))</f>
        <v>56.15</v>
      </c>
    </row>
    <row r="54" spans="1:5" ht="15">
      <c r="A54" s="289" t="s">
        <v>275</v>
      </c>
      <c r="B54" s="290" t="s">
        <v>285</v>
      </c>
      <c r="C54" s="291">
        <v>0.01</v>
      </c>
      <c r="D54" s="270">
        <v>23.11</v>
      </c>
      <c r="E54" s="270">
        <f>ROUND(D54*21-C54*D54*21,2)</f>
        <v>480.46</v>
      </c>
    </row>
    <row r="55" spans="1:5" ht="15">
      <c r="A55" s="289" t="s">
        <v>277</v>
      </c>
      <c r="B55" s="257" t="s">
        <v>78</v>
      </c>
      <c r="C55" s="291">
        <v>0.5</v>
      </c>
      <c r="D55" s="270">
        <v>81.99</v>
      </c>
      <c r="E55" s="270">
        <f>ROUND((D55*C55),2)</f>
        <v>41</v>
      </c>
    </row>
    <row r="56" spans="1:5" s="5" customFormat="1" ht="15">
      <c r="A56" s="289" t="s">
        <v>286</v>
      </c>
      <c r="B56" s="279" t="s">
        <v>77</v>
      </c>
      <c r="C56" s="261"/>
      <c r="D56" s="270"/>
      <c r="E56" s="293">
        <v>88.04</v>
      </c>
    </row>
    <row r="57" spans="1:5" ht="15">
      <c r="A57" s="289" t="s">
        <v>289</v>
      </c>
      <c r="B57" s="279" t="s">
        <v>287</v>
      </c>
      <c r="C57" s="291">
        <v>0.02</v>
      </c>
      <c r="D57" s="270">
        <v>222.36</v>
      </c>
      <c r="E57" s="293">
        <f>D57*6/12*C57</f>
        <v>2.2236000000000002</v>
      </c>
    </row>
    <row r="58" spans="1:5" ht="16.5" customHeight="1">
      <c r="A58" s="661" t="s">
        <v>971</v>
      </c>
      <c r="B58" s="603"/>
      <c r="C58" s="603"/>
      <c r="D58" s="603"/>
      <c r="E58" s="604"/>
    </row>
    <row r="59" spans="1:5" ht="15">
      <c r="A59" s="289" t="s">
        <v>290</v>
      </c>
      <c r="B59" s="279" t="s">
        <v>1058</v>
      </c>
      <c r="C59" s="468">
        <v>0.01</v>
      </c>
      <c r="D59" s="281"/>
      <c r="E59" s="294">
        <f>ROUND(((3*E23*C59)/12),2)</f>
        <v>4.49</v>
      </c>
    </row>
    <row r="60" spans="1:5" ht="15">
      <c r="A60" s="659" t="s">
        <v>912</v>
      </c>
      <c r="B60" s="659"/>
      <c r="C60" s="659"/>
      <c r="D60" s="281"/>
      <c r="E60" s="270">
        <f>SUM(E53:E59)</f>
        <v>672.3636</v>
      </c>
    </row>
    <row r="61" spans="1:5" ht="15">
      <c r="A61" s="346"/>
      <c r="B61" s="346"/>
      <c r="C61" s="346"/>
      <c r="D61" s="284"/>
      <c r="E61" s="285"/>
    </row>
    <row r="62" spans="1:5" ht="15">
      <c r="A62" s="346"/>
      <c r="B62" s="346"/>
      <c r="C62" s="346"/>
      <c r="D62" s="284"/>
      <c r="E62" s="285"/>
    </row>
    <row r="63" spans="1:5" ht="15">
      <c r="A63" s="583" t="s">
        <v>913</v>
      </c>
      <c r="B63" s="583"/>
      <c r="C63" s="583"/>
      <c r="D63" s="583"/>
      <c r="E63" s="583"/>
    </row>
    <row r="64" spans="1:5" ht="15">
      <c r="A64" s="404" t="s">
        <v>561</v>
      </c>
      <c r="B64" s="576" t="s">
        <v>904</v>
      </c>
      <c r="C64" s="569"/>
      <c r="D64" s="570"/>
      <c r="E64" s="417">
        <f>E36</f>
        <v>476.51</v>
      </c>
    </row>
    <row r="65" spans="1:5" ht="15">
      <c r="A65" s="404" t="s">
        <v>562</v>
      </c>
      <c r="B65" s="576" t="s">
        <v>914</v>
      </c>
      <c r="C65" s="569"/>
      <c r="D65" s="570"/>
      <c r="E65" s="418">
        <f>E48</f>
        <v>1117.93</v>
      </c>
    </row>
    <row r="66" spans="1:5" ht="15">
      <c r="A66" s="553" t="s">
        <v>915</v>
      </c>
      <c r="B66" s="554"/>
      <c r="C66" s="554"/>
      <c r="D66" s="555"/>
      <c r="E66" s="418"/>
    </row>
    <row r="67" spans="1:5" ht="15">
      <c r="A67" s="404" t="s">
        <v>563</v>
      </c>
      <c r="B67" s="553" t="s">
        <v>916</v>
      </c>
      <c r="C67" s="554"/>
      <c r="D67" s="555"/>
      <c r="E67" s="417">
        <f>E60</f>
        <v>672.3636</v>
      </c>
    </row>
    <row r="68" spans="1:5" ht="15">
      <c r="A68" s="553" t="s">
        <v>917</v>
      </c>
      <c r="B68" s="554"/>
      <c r="C68" s="554"/>
      <c r="D68" s="555"/>
      <c r="E68" s="417">
        <f>SUM(E64:E67)</f>
        <v>2266.8036</v>
      </c>
    </row>
    <row r="69" spans="1:5" ht="15">
      <c r="A69" s="339"/>
      <c r="B69" s="339"/>
      <c r="C69" s="339"/>
      <c r="D69" s="339"/>
      <c r="E69" s="419"/>
    </row>
    <row r="70" spans="1:5" ht="15">
      <c r="A70" s="339"/>
      <c r="B70" s="339"/>
      <c r="C70" s="339"/>
      <c r="D70" s="339"/>
      <c r="E70" s="419"/>
    </row>
    <row r="71" spans="1:5" ht="35.25" customHeight="1">
      <c r="A71" s="624" t="s">
        <v>918</v>
      </c>
      <c r="B71" s="625"/>
      <c r="C71" s="626"/>
      <c r="D71" s="406" t="s">
        <v>76</v>
      </c>
      <c r="E71" s="420" t="s">
        <v>282</v>
      </c>
    </row>
    <row r="72" spans="1:5" ht="15">
      <c r="A72" s="401" t="s">
        <v>273</v>
      </c>
      <c r="B72" s="657" t="s">
        <v>309</v>
      </c>
      <c r="C72" s="658"/>
      <c r="D72" s="402">
        <v>0.05</v>
      </c>
      <c r="E72" s="270">
        <f>ROUND(((E26/12)*D72),2)</f>
        <v>9.72</v>
      </c>
    </row>
    <row r="73" spans="1:5" ht="15">
      <c r="A73" s="653" t="s">
        <v>310</v>
      </c>
      <c r="B73" s="653"/>
      <c r="C73" s="653"/>
      <c r="D73" s="653"/>
      <c r="E73" s="653"/>
    </row>
    <row r="74" spans="1:5" ht="29.25" customHeight="1">
      <c r="A74" s="590" t="s">
        <v>919</v>
      </c>
      <c r="B74" s="591"/>
      <c r="C74" s="591"/>
      <c r="D74" s="591"/>
      <c r="E74" s="592"/>
    </row>
    <row r="75" spans="1:5" ht="15">
      <c r="A75" s="318" t="s">
        <v>275</v>
      </c>
      <c r="B75" s="543" t="s">
        <v>311</v>
      </c>
      <c r="C75" s="544"/>
      <c r="D75" s="545"/>
      <c r="E75" s="319">
        <f>ROUND((E72*0.08),2)</f>
        <v>0.78</v>
      </c>
    </row>
    <row r="76" spans="1:5" ht="15">
      <c r="A76" s="654" t="s">
        <v>920</v>
      </c>
      <c r="B76" s="655"/>
      <c r="C76" s="655"/>
      <c r="D76" s="655"/>
      <c r="E76" s="656"/>
    </row>
    <row r="77" spans="1:5" ht="15">
      <c r="A77" s="421" t="s">
        <v>277</v>
      </c>
      <c r="B77" s="546" t="s">
        <v>921</v>
      </c>
      <c r="C77" s="547"/>
      <c r="D77" s="548"/>
      <c r="E77" s="422"/>
    </row>
    <row r="78" spans="1:5" ht="30" customHeight="1">
      <c r="A78" s="590" t="s">
        <v>922</v>
      </c>
      <c r="B78" s="591"/>
      <c r="C78" s="591"/>
      <c r="D78" s="591"/>
      <c r="E78" s="592"/>
    </row>
    <row r="79" spans="1:5" ht="15">
      <c r="A79" s="320" t="s">
        <v>286</v>
      </c>
      <c r="B79" s="640" t="s">
        <v>312</v>
      </c>
      <c r="C79" s="640"/>
      <c r="D79" s="640"/>
      <c r="E79" s="423">
        <f>ROUND((((E26/30)/12)*7*1),2)</f>
        <v>45.35</v>
      </c>
    </row>
    <row r="80" spans="1:5" ht="30" customHeight="1">
      <c r="A80" s="641" t="s">
        <v>923</v>
      </c>
      <c r="B80" s="642"/>
      <c r="C80" s="642"/>
      <c r="D80" s="642"/>
      <c r="E80" s="643"/>
    </row>
    <row r="81" spans="1:5" ht="15">
      <c r="A81" s="302" t="s">
        <v>289</v>
      </c>
      <c r="B81" s="644" t="s">
        <v>924</v>
      </c>
      <c r="C81" s="645"/>
      <c r="D81" s="646"/>
      <c r="E81" s="321">
        <f>ROUND((D48*E79),2)</f>
        <v>18.05</v>
      </c>
    </row>
    <row r="82" spans="1:5" ht="15">
      <c r="A82" s="322" t="s">
        <v>290</v>
      </c>
      <c r="B82" s="647" t="s">
        <v>925</v>
      </c>
      <c r="C82" s="648"/>
      <c r="D82" s="649"/>
      <c r="E82" s="323">
        <f>ROUND(((E26+E32+E34)*0.4*0.08*1),2)</f>
        <v>89.88</v>
      </c>
    </row>
    <row r="83" spans="1:5" ht="29.25" customHeight="1">
      <c r="A83" s="641" t="s">
        <v>926</v>
      </c>
      <c r="B83" s="642"/>
      <c r="C83" s="642"/>
      <c r="D83" s="642"/>
      <c r="E83" s="643"/>
    </row>
    <row r="84" spans="1:5" ht="15">
      <c r="A84" s="650" t="s">
        <v>927</v>
      </c>
      <c r="B84" s="651"/>
      <c r="C84" s="651"/>
      <c r="D84" s="652"/>
      <c r="E84" s="324">
        <f>ROUND((E72+E75+E77+E79+E81+E82),2)</f>
        <v>163.78</v>
      </c>
    </row>
    <row r="85" spans="1:5" ht="15">
      <c r="A85" s="306"/>
      <c r="B85" s="306"/>
      <c r="C85" s="306"/>
      <c r="D85" s="306"/>
      <c r="E85" s="424"/>
    </row>
    <row r="86" spans="1:5" ht="15">
      <c r="A86" s="306"/>
      <c r="B86" s="306"/>
      <c r="C86" s="306"/>
      <c r="D86" s="306"/>
      <c r="E86" s="424"/>
    </row>
    <row r="87" spans="1:5" ht="30">
      <c r="A87" s="624" t="s">
        <v>928</v>
      </c>
      <c r="B87" s="625"/>
      <c r="C87" s="626"/>
      <c r="D87" s="425" t="s">
        <v>76</v>
      </c>
      <c r="E87" s="412" t="s">
        <v>282</v>
      </c>
    </row>
    <row r="88" spans="1:5" ht="15">
      <c r="A88" s="627" t="s">
        <v>929</v>
      </c>
      <c r="B88" s="628"/>
      <c r="C88" s="628"/>
      <c r="D88" s="628"/>
      <c r="E88" s="629"/>
    </row>
    <row r="89" spans="1:5" ht="15">
      <c r="A89" s="318" t="s">
        <v>273</v>
      </c>
      <c r="B89" s="297" t="s">
        <v>930</v>
      </c>
      <c r="C89" s="298"/>
      <c r="D89" s="298"/>
      <c r="E89" s="325">
        <f>ROUND(((E26+E68+E84)*12.1/100/12),2)</f>
        <v>48.03</v>
      </c>
    </row>
    <row r="90" spans="1:5" ht="15">
      <c r="A90" s="630" t="s">
        <v>931</v>
      </c>
      <c r="B90" s="631"/>
      <c r="C90" s="631"/>
      <c r="D90" s="631"/>
      <c r="E90" s="632"/>
    </row>
    <row r="91" spans="1:5" ht="33" customHeight="1">
      <c r="A91" s="613" t="s">
        <v>275</v>
      </c>
      <c r="B91" s="634" t="s">
        <v>932</v>
      </c>
      <c r="C91" s="635"/>
      <c r="D91" s="326" t="s">
        <v>84</v>
      </c>
      <c r="E91" s="638">
        <f>ROUND((((E26/30)/12)*D92),2)</f>
        <v>19.44</v>
      </c>
    </row>
    <row r="92" spans="1:5" ht="15">
      <c r="A92" s="633"/>
      <c r="B92" s="636"/>
      <c r="C92" s="637"/>
      <c r="D92" s="327">
        <v>3</v>
      </c>
      <c r="E92" s="639"/>
    </row>
    <row r="93" spans="1:5" ht="15">
      <c r="A93" s="590" t="s">
        <v>933</v>
      </c>
      <c r="B93" s="591"/>
      <c r="C93" s="591"/>
      <c r="D93" s="591"/>
      <c r="E93" s="592"/>
    </row>
    <row r="94" spans="1:5" ht="15">
      <c r="A94" s="590" t="s">
        <v>934</v>
      </c>
      <c r="B94" s="591"/>
      <c r="C94" s="591"/>
      <c r="D94" s="591"/>
      <c r="E94" s="592"/>
    </row>
    <row r="95" spans="1:5" ht="36" customHeight="1">
      <c r="A95" s="617" t="s">
        <v>277</v>
      </c>
      <c r="B95" s="618" t="s">
        <v>935</v>
      </c>
      <c r="C95" s="317" t="s">
        <v>85</v>
      </c>
      <c r="D95" s="317" t="s">
        <v>288</v>
      </c>
      <c r="E95" s="620">
        <f>ROUND((((E26/30)/12)*C96*D96),2)</f>
        <v>0.49</v>
      </c>
    </row>
    <row r="96" spans="1:5" ht="15">
      <c r="A96" s="617"/>
      <c r="B96" s="619"/>
      <c r="C96" s="263">
        <v>5</v>
      </c>
      <c r="D96" s="328">
        <v>0.015</v>
      </c>
      <c r="E96" s="620"/>
    </row>
    <row r="97" spans="1:5" ht="30" customHeight="1">
      <c r="A97" s="621" t="s">
        <v>936</v>
      </c>
      <c r="B97" s="622"/>
      <c r="C97" s="622"/>
      <c r="D97" s="622"/>
      <c r="E97" s="623"/>
    </row>
    <row r="98" spans="1:5" ht="15">
      <c r="A98" s="590" t="s">
        <v>937</v>
      </c>
      <c r="B98" s="591"/>
      <c r="C98" s="591"/>
      <c r="D98" s="591"/>
      <c r="E98" s="592"/>
    </row>
    <row r="99" spans="1:5" ht="31.5" customHeight="1">
      <c r="A99" s="613" t="s">
        <v>286</v>
      </c>
      <c r="B99" s="614" t="s">
        <v>938</v>
      </c>
      <c r="C99" s="329" t="s">
        <v>314</v>
      </c>
      <c r="D99" s="326" t="s">
        <v>288</v>
      </c>
      <c r="E99" s="616">
        <f>ROUND((((E26/30)/12)*C100*D100),2)</f>
        <v>5.83</v>
      </c>
    </row>
    <row r="100" spans="1:5" ht="15">
      <c r="A100" s="613"/>
      <c r="B100" s="615"/>
      <c r="C100" s="312">
        <v>15</v>
      </c>
      <c r="D100" s="330">
        <v>0.06</v>
      </c>
      <c r="E100" s="616"/>
    </row>
    <row r="101" spans="1:5" ht="30" customHeight="1">
      <c r="A101" s="587" t="s">
        <v>939</v>
      </c>
      <c r="B101" s="588"/>
      <c r="C101" s="588"/>
      <c r="D101" s="588"/>
      <c r="E101" s="589"/>
    </row>
    <row r="102" spans="1:5" ht="30" customHeight="1">
      <c r="A102" s="590" t="s">
        <v>940</v>
      </c>
      <c r="B102" s="591"/>
      <c r="C102" s="591"/>
      <c r="D102" s="591"/>
      <c r="E102" s="592"/>
    </row>
    <row r="103" spans="1:5" ht="15">
      <c r="A103" s="314" t="s">
        <v>289</v>
      </c>
      <c r="B103" s="605" t="s">
        <v>941</v>
      </c>
      <c r="C103" s="606"/>
      <c r="D103" s="607"/>
      <c r="E103" s="257"/>
    </row>
    <row r="104" spans="1:5" ht="15">
      <c r="A104" s="331" t="s">
        <v>306</v>
      </c>
      <c r="B104" s="332"/>
      <c r="C104" s="332"/>
      <c r="D104" s="332"/>
      <c r="E104" s="270">
        <f>SUM(E89+E91+E95+E99)</f>
        <v>73.78999999999999</v>
      </c>
    </row>
    <row r="105" spans="1:5" ht="15">
      <c r="A105" s="307" t="s">
        <v>290</v>
      </c>
      <c r="B105" s="608" t="s">
        <v>942</v>
      </c>
      <c r="C105" s="609"/>
      <c r="D105" s="609"/>
      <c r="E105" s="292">
        <f>ROUND((D48*E104),2)</f>
        <v>29.37</v>
      </c>
    </row>
    <row r="106" spans="1:5" ht="15">
      <c r="A106" s="610" t="s">
        <v>943</v>
      </c>
      <c r="B106" s="610"/>
      <c r="C106" s="610"/>
      <c r="D106" s="610"/>
      <c r="E106" s="270">
        <f>ROUND((E104+E105),2)</f>
        <v>103.16</v>
      </c>
    </row>
    <row r="107" spans="1:5" ht="15">
      <c r="A107" s="348"/>
      <c r="B107" s="348"/>
      <c r="C107" s="348"/>
      <c r="D107" s="348"/>
      <c r="E107" s="285"/>
    </row>
    <row r="108" spans="1:5" ht="15">
      <c r="A108" s="348"/>
      <c r="B108" s="348"/>
      <c r="C108" s="348"/>
      <c r="D108" s="348"/>
      <c r="E108" s="285"/>
    </row>
    <row r="109" spans="1:5" ht="15">
      <c r="A109" s="611" t="s">
        <v>944</v>
      </c>
      <c r="B109" s="611"/>
      <c r="C109" s="611"/>
      <c r="D109" s="611"/>
      <c r="E109" s="611"/>
    </row>
    <row r="110" spans="1:5" ht="18.75" customHeight="1">
      <c r="A110" s="612" t="s">
        <v>273</v>
      </c>
      <c r="B110" s="614" t="s">
        <v>945</v>
      </c>
      <c r="C110" s="311" t="s">
        <v>308</v>
      </c>
      <c r="D110" s="311" t="s">
        <v>288</v>
      </c>
      <c r="E110" s="301" t="s">
        <v>577</v>
      </c>
    </row>
    <row r="111" spans="1:5" ht="15">
      <c r="A111" s="613"/>
      <c r="B111" s="615"/>
      <c r="C111" s="312">
        <v>4</v>
      </c>
      <c r="D111" s="313">
        <v>0.02</v>
      </c>
      <c r="E111" s="270">
        <f>ROUND(((E26+E26/3)*(4/12)/12*(D111)),2)</f>
        <v>1.73</v>
      </c>
    </row>
    <row r="112" spans="1:5" ht="30.75" customHeight="1">
      <c r="A112" s="587" t="s">
        <v>946</v>
      </c>
      <c r="B112" s="588"/>
      <c r="C112" s="588"/>
      <c r="D112" s="588"/>
      <c r="E112" s="589"/>
    </row>
    <row r="113" spans="1:5" ht="32.25" customHeight="1">
      <c r="A113" s="590" t="s">
        <v>947</v>
      </c>
      <c r="B113" s="591"/>
      <c r="C113" s="591"/>
      <c r="D113" s="591"/>
      <c r="E113" s="592"/>
    </row>
    <row r="114" spans="1:5" ht="30" customHeight="1">
      <c r="A114" s="314" t="s">
        <v>275</v>
      </c>
      <c r="B114" s="593" t="s">
        <v>948</v>
      </c>
      <c r="C114" s="594"/>
      <c r="D114" s="595"/>
      <c r="E114" s="270">
        <f>ROUND((E111*D48),2)</f>
        <v>0.69</v>
      </c>
    </row>
    <row r="115" spans="1:5" ht="15">
      <c r="A115" s="596" t="s">
        <v>949</v>
      </c>
      <c r="B115" s="597"/>
      <c r="C115" s="597"/>
      <c r="D115" s="597"/>
      <c r="E115" s="598"/>
    </row>
    <row r="116" spans="1:5" ht="16.5" customHeight="1">
      <c r="A116" s="426" t="s">
        <v>277</v>
      </c>
      <c r="B116" s="599" t="s">
        <v>950</v>
      </c>
      <c r="C116" s="600"/>
      <c r="D116" s="601"/>
      <c r="E116" s="292">
        <f>ROUND(((E26+E32)*(4/12)*D111*D45),2)</f>
        <v>1.35</v>
      </c>
    </row>
    <row r="117" spans="1:5" ht="29.25" customHeight="1">
      <c r="A117" s="602" t="s">
        <v>951</v>
      </c>
      <c r="B117" s="603"/>
      <c r="C117" s="603"/>
      <c r="D117" s="603"/>
      <c r="E117" s="604"/>
    </row>
    <row r="118" spans="1:5" ht="15">
      <c r="A118" s="580" t="s">
        <v>952</v>
      </c>
      <c r="B118" s="581"/>
      <c r="C118" s="581"/>
      <c r="D118" s="582"/>
      <c r="E118" s="270">
        <f>ROUND((E111+E114+E116),2)</f>
        <v>3.77</v>
      </c>
    </row>
    <row r="119" spans="1:5" ht="15">
      <c r="A119" s="348"/>
      <c r="B119" s="348"/>
      <c r="C119" s="348"/>
      <c r="D119" s="348"/>
      <c r="E119" s="285"/>
    </row>
    <row r="120" spans="1:5" ht="15.75">
      <c r="A120" s="264"/>
      <c r="B120" s="266"/>
      <c r="C120" s="266"/>
      <c r="D120" s="266"/>
      <c r="E120" s="345"/>
    </row>
    <row r="121" spans="1:5" ht="15">
      <c r="A121" s="583" t="s">
        <v>953</v>
      </c>
      <c r="B121" s="583"/>
      <c r="C121" s="583"/>
      <c r="D121" s="583"/>
      <c r="E121" s="583"/>
    </row>
    <row r="122" spans="1:5" ht="15">
      <c r="A122" s="404" t="s">
        <v>292</v>
      </c>
      <c r="B122" s="576" t="s">
        <v>313</v>
      </c>
      <c r="C122" s="569"/>
      <c r="D122" s="570"/>
      <c r="E122" s="417">
        <f>E106</f>
        <v>103.16</v>
      </c>
    </row>
    <row r="123" spans="1:5" ht="16.5" customHeight="1">
      <c r="A123" s="404" t="s">
        <v>954</v>
      </c>
      <c r="B123" s="576" t="s">
        <v>315</v>
      </c>
      <c r="C123" s="569"/>
      <c r="D123" s="570"/>
      <c r="E123" s="418">
        <f>E118</f>
        <v>3.77</v>
      </c>
    </row>
    <row r="124" spans="1:5" ht="15">
      <c r="A124" s="553" t="s">
        <v>955</v>
      </c>
      <c r="B124" s="554"/>
      <c r="C124" s="554"/>
      <c r="D124" s="555"/>
      <c r="E124" s="417">
        <f>SUM(E122:E123)</f>
        <v>106.92999999999999</v>
      </c>
    </row>
    <row r="125" spans="1:5" ht="15">
      <c r="A125" s="339"/>
      <c r="B125" s="339"/>
      <c r="C125" s="339"/>
      <c r="D125" s="339"/>
      <c r="E125" s="419"/>
    </row>
    <row r="126" spans="1:5" ht="15.75">
      <c r="A126" s="264"/>
      <c r="B126" s="266"/>
      <c r="C126" s="266"/>
      <c r="D126" s="266"/>
      <c r="E126" s="345"/>
    </row>
    <row r="127" spans="1:5" ht="15">
      <c r="A127" s="584" t="s">
        <v>956</v>
      </c>
      <c r="B127" s="585"/>
      <c r="C127" s="585"/>
      <c r="D127" s="586"/>
      <c r="E127" s="295" t="s">
        <v>282</v>
      </c>
    </row>
    <row r="128" spans="1:5" ht="15">
      <c r="A128" s="289" t="s">
        <v>273</v>
      </c>
      <c r="B128" s="576" t="s">
        <v>291</v>
      </c>
      <c r="C128" s="569"/>
      <c r="D128" s="570"/>
      <c r="E128" s="437">
        <v>80.96</v>
      </c>
    </row>
    <row r="129" spans="1:5" ht="15">
      <c r="A129" s="427" t="s">
        <v>275</v>
      </c>
      <c r="B129" s="577" t="s">
        <v>97</v>
      </c>
      <c r="C129" s="578"/>
      <c r="D129" s="579"/>
      <c r="E129" s="437">
        <f>'A1) Ferramentas'!G55</f>
        <v>65.51871562500001</v>
      </c>
    </row>
    <row r="130" spans="1:5" ht="15">
      <c r="A130" s="427" t="s">
        <v>277</v>
      </c>
      <c r="B130" s="577" t="s">
        <v>972</v>
      </c>
      <c r="C130" s="578"/>
      <c r="D130" s="579"/>
      <c r="E130" s="437">
        <f>'A1) Ferramentas'!G91</f>
        <v>197.10250000000002</v>
      </c>
    </row>
    <row r="131" spans="1:5" ht="15">
      <c r="A131" s="289" t="s">
        <v>286</v>
      </c>
      <c r="B131" s="576" t="s">
        <v>283</v>
      </c>
      <c r="C131" s="569"/>
      <c r="D131" s="570"/>
      <c r="E131" s="294"/>
    </row>
    <row r="132" spans="1:5" ht="15">
      <c r="A132" s="556" t="s">
        <v>957</v>
      </c>
      <c r="B132" s="557"/>
      <c r="C132" s="557"/>
      <c r="D132" s="558"/>
      <c r="E132" s="270">
        <f>SUM(E128:E131)</f>
        <v>343.581215625</v>
      </c>
    </row>
    <row r="133" spans="1:5" ht="15">
      <c r="A133" s="315"/>
      <c r="B133" s="286"/>
      <c r="C133" s="283"/>
      <c r="D133" s="316"/>
      <c r="E133" s="429"/>
    </row>
    <row r="134" spans="1:5" ht="15">
      <c r="A134" s="575" t="s">
        <v>958</v>
      </c>
      <c r="B134" s="575"/>
      <c r="C134" s="575"/>
      <c r="D134" s="278" t="s">
        <v>281</v>
      </c>
      <c r="E134" s="295" t="s">
        <v>282</v>
      </c>
    </row>
    <row r="135" spans="1:5" ht="15">
      <c r="A135" s="333" t="s">
        <v>273</v>
      </c>
      <c r="B135" s="334" t="s">
        <v>649</v>
      </c>
      <c r="C135" s="335"/>
      <c r="D135" s="439">
        <f>'A2) BDI'!D8</f>
        <v>0.09117690499999997</v>
      </c>
      <c r="E135" s="270">
        <f>ROUND(((E26+E68+E84+E124+E132)*D135),2)</f>
        <v>475.35</v>
      </c>
    </row>
    <row r="136" spans="1:5" ht="15">
      <c r="A136" s="559" t="s">
        <v>1001</v>
      </c>
      <c r="B136" s="560"/>
      <c r="C136" s="560"/>
      <c r="D136" s="560"/>
      <c r="E136" s="561"/>
    </row>
    <row r="137" spans="1:5" ht="15">
      <c r="A137" s="333" t="s">
        <v>275</v>
      </c>
      <c r="B137" s="334" t="s">
        <v>321</v>
      </c>
      <c r="C137" s="335"/>
      <c r="D137" s="439">
        <f>'A2) BDI'!D13</f>
        <v>0.0825</v>
      </c>
      <c r="E137" s="270">
        <f>ROUND(((E26+E68+E84+E124+E132+E135)*D137),2)</f>
        <v>469.33</v>
      </c>
    </row>
    <row r="138" spans="1:5" ht="15">
      <c r="A138" s="559" t="s">
        <v>959</v>
      </c>
      <c r="B138" s="560"/>
      <c r="C138" s="560"/>
      <c r="D138" s="560"/>
      <c r="E138" s="561"/>
    </row>
    <row r="139" spans="1:5" ht="15">
      <c r="A139" s="333" t="s">
        <v>277</v>
      </c>
      <c r="B139" s="334" t="s">
        <v>316</v>
      </c>
      <c r="C139" s="335"/>
      <c r="D139" s="263"/>
      <c r="E139" s="317"/>
    </row>
    <row r="140" spans="1:5" ht="15">
      <c r="A140" s="333"/>
      <c r="B140" s="334" t="s">
        <v>86</v>
      </c>
      <c r="C140" s="335"/>
      <c r="D140" s="337">
        <f>(1-(D142+D144+D146+D143))/100</f>
        <v>0.009134999999999999</v>
      </c>
      <c r="E140" s="270">
        <f>ROUND((E26+E68+E84+E124+E132+E135+E137)/D140/100,2)</f>
        <v>6741.26</v>
      </c>
    </row>
    <row r="141" spans="1:5" ht="15">
      <c r="A141" s="338" t="s">
        <v>87</v>
      </c>
      <c r="B141" s="279" t="s">
        <v>88</v>
      </c>
      <c r="C141" s="280"/>
      <c r="D141" s="257"/>
      <c r="E141" s="257"/>
    </row>
    <row r="142" spans="1:5" ht="15">
      <c r="A142" s="338"/>
      <c r="B142" s="279" t="s">
        <v>317</v>
      </c>
      <c r="C142" s="280"/>
      <c r="D142" s="439">
        <f>'A2) BDI'!D14</f>
        <v>0.0065</v>
      </c>
      <c r="E142" s="270">
        <f>E140*D142</f>
        <v>43.81819</v>
      </c>
    </row>
    <row r="143" spans="1:5" ht="15">
      <c r="A143" s="338"/>
      <c r="B143" s="279" t="s">
        <v>319</v>
      </c>
      <c r="C143" s="280"/>
      <c r="D143" s="439">
        <f>'A2) BDI'!D15</f>
        <v>0.03</v>
      </c>
      <c r="E143" s="270">
        <f>E140*D143</f>
        <v>202.2378</v>
      </c>
    </row>
    <row r="144" spans="1:5" ht="15">
      <c r="A144" s="338"/>
      <c r="B144" s="279" t="s">
        <v>23</v>
      </c>
      <c r="C144" s="280"/>
      <c r="D144" s="439">
        <f>'A2) BDI'!D17</f>
        <v>0</v>
      </c>
      <c r="E144" s="270">
        <f>E140*D144</f>
        <v>0</v>
      </c>
    </row>
    <row r="145" spans="1:5" ht="15">
      <c r="A145" s="338" t="s">
        <v>89</v>
      </c>
      <c r="B145" s="279" t="s">
        <v>90</v>
      </c>
      <c r="C145" s="280"/>
      <c r="D145" s="336"/>
      <c r="E145" s="258"/>
    </row>
    <row r="146" spans="1:5" ht="15">
      <c r="A146" s="338"/>
      <c r="B146" s="279" t="s">
        <v>320</v>
      </c>
      <c r="C146" s="280"/>
      <c r="D146" s="439">
        <f>'A2) BDI'!D16</f>
        <v>0.05</v>
      </c>
      <c r="E146" s="270">
        <f>E140*D146</f>
        <v>337.06300000000005</v>
      </c>
    </row>
    <row r="147" spans="1:5" ht="15">
      <c r="A147" s="338"/>
      <c r="B147" s="279" t="s">
        <v>303</v>
      </c>
      <c r="C147" s="280"/>
      <c r="D147" s="336">
        <f>SUM(D142:D146)</f>
        <v>0.0865</v>
      </c>
      <c r="E147" s="270">
        <f>E135+E137+E142+E144+E146+E143</f>
        <v>1527.7989900000002</v>
      </c>
    </row>
    <row r="148" spans="1:5" ht="15">
      <c r="A148" s="339"/>
      <c r="B148" s="340"/>
      <c r="C148" s="340"/>
      <c r="D148" s="340"/>
      <c r="E148" s="429"/>
    </row>
    <row r="149" spans="1:5" ht="15">
      <c r="A149" s="575" t="s">
        <v>91</v>
      </c>
      <c r="B149" s="575"/>
      <c r="C149" s="575"/>
      <c r="D149" s="575"/>
      <c r="E149" s="287" t="s">
        <v>1000</v>
      </c>
    </row>
    <row r="150" spans="1:5" ht="15">
      <c r="A150" s="341" t="s">
        <v>273</v>
      </c>
      <c r="B150" s="559" t="s">
        <v>92</v>
      </c>
      <c r="C150" s="560"/>
      <c r="D150" s="561"/>
      <c r="E150" s="270">
        <f>E26</f>
        <v>2332.37</v>
      </c>
    </row>
    <row r="151" spans="1:5" ht="15">
      <c r="A151" s="341" t="s">
        <v>275</v>
      </c>
      <c r="B151" s="559" t="s">
        <v>960</v>
      </c>
      <c r="C151" s="560"/>
      <c r="D151" s="561"/>
      <c r="E151" s="270">
        <f>E68</f>
        <v>2266.8036</v>
      </c>
    </row>
    <row r="152" spans="1:5" ht="15">
      <c r="A152" s="341" t="s">
        <v>277</v>
      </c>
      <c r="B152" s="559" t="s">
        <v>961</v>
      </c>
      <c r="C152" s="560"/>
      <c r="D152" s="561"/>
      <c r="E152" s="270">
        <f>E84</f>
        <v>163.78</v>
      </c>
    </row>
    <row r="153" spans="1:5" ht="15">
      <c r="A153" s="341" t="s">
        <v>286</v>
      </c>
      <c r="B153" s="559" t="s">
        <v>962</v>
      </c>
      <c r="C153" s="560"/>
      <c r="D153" s="561"/>
      <c r="E153" s="270">
        <f>E124</f>
        <v>106.92999999999999</v>
      </c>
    </row>
    <row r="154" spans="1:5" ht="15">
      <c r="A154" s="341" t="s">
        <v>289</v>
      </c>
      <c r="B154" s="559" t="s">
        <v>963</v>
      </c>
      <c r="C154" s="560"/>
      <c r="D154" s="561"/>
      <c r="E154" s="270">
        <f>E132</f>
        <v>343.581215625</v>
      </c>
    </row>
    <row r="155" spans="1:5" ht="15">
      <c r="A155" s="559" t="s">
        <v>964</v>
      </c>
      <c r="B155" s="560"/>
      <c r="C155" s="560"/>
      <c r="D155" s="561"/>
      <c r="E155" s="270">
        <f>SUM(E150:E154)</f>
        <v>5213.4648156250005</v>
      </c>
    </row>
    <row r="156" spans="1:6" ht="15">
      <c r="A156" s="341" t="s">
        <v>290</v>
      </c>
      <c r="B156" s="559" t="s">
        <v>965</v>
      </c>
      <c r="C156" s="560"/>
      <c r="D156" s="561"/>
      <c r="E156" s="270">
        <f>E147</f>
        <v>1527.7989900000002</v>
      </c>
      <c r="F156" s="181">
        <f>E156/E155</f>
        <v>0.2930486814490652</v>
      </c>
    </row>
    <row r="157" spans="1:5" ht="15">
      <c r="A157" s="572" t="s">
        <v>93</v>
      </c>
      <c r="B157" s="573"/>
      <c r="C157" s="573"/>
      <c r="D157" s="574"/>
      <c r="E157" s="428">
        <f>E155+E156</f>
        <v>6741.263805625001</v>
      </c>
    </row>
    <row r="158" spans="1:5" ht="15">
      <c r="A158" s="559" t="s">
        <v>94</v>
      </c>
      <c r="B158" s="560"/>
      <c r="C158" s="560"/>
      <c r="D158" s="561"/>
      <c r="E158" s="342">
        <f>E20</f>
        <v>3</v>
      </c>
    </row>
    <row r="159" spans="1:5" ht="15">
      <c r="A159" s="559" t="s">
        <v>95</v>
      </c>
      <c r="B159" s="560"/>
      <c r="C159" s="560"/>
      <c r="D159" s="561"/>
      <c r="E159" s="270">
        <f>ROUND(E158*E157,2)</f>
        <v>20223.79</v>
      </c>
    </row>
    <row r="160" spans="1:5" ht="15">
      <c r="A160" s="559" t="s">
        <v>966</v>
      </c>
      <c r="B160" s="560"/>
      <c r="C160" s="560"/>
      <c r="D160" s="561"/>
      <c r="E160" s="270">
        <f>ROUND((E159*12),2)</f>
        <v>242685.48</v>
      </c>
    </row>
    <row r="161" spans="1:5" ht="15">
      <c r="A161" s="256"/>
      <c r="B161" s="256"/>
      <c r="C161" s="256"/>
      <c r="D161" s="276"/>
      <c r="E161" s="429"/>
    </row>
    <row r="162" spans="1:5" ht="15">
      <c r="A162" s="256"/>
      <c r="B162" s="256"/>
      <c r="C162" s="256"/>
      <c r="D162" s="276"/>
      <c r="E162" s="429"/>
    </row>
    <row r="163" spans="1:5" ht="15">
      <c r="A163" s="562" t="s">
        <v>96</v>
      </c>
      <c r="B163" s="563"/>
      <c r="C163" s="563"/>
      <c r="D163" s="563"/>
      <c r="E163" s="564"/>
    </row>
    <row r="164" spans="1:5" ht="15">
      <c r="A164" s="565" t="s">
        <v>223</v>
      </c>
      <c r="B164" s="566"/>
      <c r="C164" s="566"/>
      <c r="D164" s="567"/>
      <c r="E164" s="301" t="s">
        <v>577</v>
      </c>
    </row>
    <row r="165" spans="1:5" ht="15">
      <c r="A165" s="568" t="s">
        <v>305</v>
      </c>
      <c r="B165" s="569"/>
      <c r="C165" s="569"/>
      <c r="D165" s="570"/>
      <c r="E165" s="270">
        <f>E32</f>
        <v>194.29</v>
      </c>
    </row>
    <row r="166" spans="1:5" ht="15">
      <c r="A166" s="543" t="s">
        <v>83</v>
      </c>
      <c r="B166" s="544"/>
      <c r="C166" s="544"/>
      <c r="D166" s="545"/>
      <c r="E166" s="431">
        <f>E34</f>
        <v>282.22</v>
      </c>
    </row>
    <row r="167" spans="1:5" ht="15">
      <c r="A167" s="546" t="s">
        <v>921</v>
      </c>
      <c r="B167" s="547"/>
      <c r="C167" s="547"/>
      <c r="D167" s="548"/>
      <c r="E167" s="422">
        <f>E77</f>
        <v>0</v>
      </c>
    </row>
    <row r="168" spans="1:5" ht="15">
      <c r="A168" s="549" t="s">
        <v>925</v>
      </c>
      <c r="B168" s="550"/>
      <c r="C168" s="550"/>
      <c r="D168" s="551"/>
      <c r="E168" s="343">
        <f>E82</f>
        <v>89.88</v>
      </c>
    </row>
    <row r="169" spans="1:5" ht="15">
      <c r="A169" s="552" t="s">
        <v>306</v>
      </c>
      <c r="B169" s="552"/>
      <c r="C169" s="552"/>
      <c r="D169" s="552"/>
      <c r="E169" s="344">
        <f>SUM(E165:E168)</f>
        <v>566.39</v>
      </c>
    </row>
    <row r="170" spans="1:5" ht="30" customHeight="1">
      <c r="A170" s="553" t="s">
        <v>967</v>
      </c>
      <c r="B170" s="554"/>
      <c r="C170" s="555"/>
      <c r="D170" s="432">
        <v>0.0782</v>
      </c>
      <c r="E170" s="257">
        <f>ROUND((E26*D170),2)</f>
        <v>182.39</v>
      </c>
    </row>
    <row r="171" spans="1:5" ht="15">
      <c r="A171" s="556" t="s">
        <v>194</v>
      </c>
      <c r="B171" s="557"/>
      <c r="C171" s="557"/>
      <c r="D171" s="558"/>
      <c r="E171" s="344">
        <f>SUM(E169:E170)</f>
        <v>748.78</v>
      </c>
    </row>
    <row r="172" spans="1:5" ht="15">
      <c r="A172" s="265"/>
      <c r="B172" s="265"/>
      <c r="C172" s="265"/>
      <c r="D172" s="265"/>
      <c r="E172" s="434"/>
    </row>
    <row r="173" spans="1:5" ht="15">
      <c r="A173" s="571" t="s">
        <v>1059</v>
      </c>
      <c r="B173" s="571"/>
      <c r="C173" s="264"/>
      <c r="D173" s="284"/>
      <c r="E173" s="277"/>
    </row>
    <row r="174" spans="1:5" ht="15">
      <c r="A174" s="542" t="s">
        <v>592</v>
      </c>
      <c r="B174" s="542"/>
      <c r="C174" s="256"/>
      <c r="D174" s="276"/>
      <c r="E174" s="277"/>
    </row>
    <row r="175" spans="1:5" ht="15.75">
      <c r="A175" s="542" t="s">
        <v>968</v>
      </c>
      <c r="B175" s="542"/>
      <c r="C175" s="256"/>
      <c r="D175" s="276"/>
      <c r="E175" s="345"/>
    </row>
  </sheetData>
  <sheetProtection/>
  <mergeCells count="119">
    <mergeCell ref="A4:E4"/>
    <mergeCell ref="A6:E6"/>
    <mergeCell ref="B7:D7"/>
    <mergeCell ref="B8:D8"/>
    <mergeCell ref="B9:D9"/>
    <mergeCell ref="B10:D10"/>
    <mergeCell ref="A29:C29"/>
    <mergeCell ref="A30:E30"/>
    <mergeCell ref="A33:E33"/>
    <mergeCell ref="A13:E13"/>
    <mergeCell ref="B14:D14"/>
    <mergeCell ref="B17:D17"/>
    <mergeCell ref="B20:D20"/>
    <mergeCell ref="A22:C22"/>
    <mergeCell ref="A25:E25"/>
    <mergeCell ref="A35:E35"/>
    <mergeCell ref="A36:D36"/>
    <mergeCell ref="A39:E39"/>
    <mergeCell ref="B40:C40"/>
    <mergeCell ref="B41:C41"/>
    <mergeCell ref="B42:C42"/>
    <mergeCell ref="B43:C43"/>
    <mergeCell ref="B44:C44"/>
    <mergeCell ref="B45:C45"/>
    <mergeCell ref="B46:C46"/>
    <mergeCell ref="B47:C47"/>
    <mergeCell ref="A48:C48"/>
    <mergeCell ref="A49:E49"/>
    <mergeCell ref="A52:E52"/>
    <mergeCell ref="A58:E58"/>
    <mergeCell ref="A60:C60"/>
    <mergeCell ref="A63:E63"/>
    <mergeCell ref="B64:D64"/>
    <mergeCell ref="B65:D65"/>
    <mergeCell ref="A66:D66"/>
    <mergeCell ref="B67:D67"/>
    <mergeCell ref="A68:D68"/>
    <mergeCell ref="A71:C71"/>
    <mergeCell ref="B72:C72"/>
    <mergeCell ref="A73:E73"/>
    <mergeCell ref="A74:E74"/>
    <mergeCell ref="B75:D75"/>
    <mergeCell ref="A76:E76"/>
    <mergeCell ref="B77:D77"/>
    <mergeCell ref="A78:E78"/>
    <mergeCell ref="B79:D79"/>
    <mergeCell ref="A80:E80"/>
    <mergeCell ref="B81:D81"/>
    <mergeCell ref="B82:D82"/>
    <mergeCell ref="A83:E83"/>
    <mergeCell ref="A84:D84"/>
    <mergeCell ref="A87:C87"/>
    <mergeCell ref="A88:E88"/>
    <mergeCell ref="A90:E90"/>
    <mergeCell ref="A91:A92"/>
    <mergeCell ref="B91:C92"/>
    <mergeCell ref="E91:E92"/>
    <mergeCell ref="A93:E93"/>
    <mergeCell ref="A94:E94"/>
    <mergeCell ref="A95:A96"/>
    <mergeCell ref="B95:B96"/>
    <mergeCell ref="E95:E96"/>
    <mergeCell ref="A97:E97"/>
    <mergeCell ref="A98:E98"/>
    <mergeCell ref="A99:A100"/>
    <mergeCell ref="B99:B100"/>
    <mergeCell ref="E99:E100"/>
    <mergeCell ref="A101:E101"/>
    <mergeCell ref="A102:E102"/>
    <mergeCell ref="B103:D103"/>
    <mergeCell ref="B105:D105"/>
    <mergeCell ref="A106:D106"/>
    <mergeCell ref="A109:E109"/>
    <mergeCell ref="A110:A111"/>
    <mergeCell ref="B110:B111"/>
    <mergeCell ref="A112:E112"/>
    <mergeCell ref="A113:E113"/>
    <mergeCell ref="B114:D114"/>
    <mergeCell ref="A115:E115"/>
    <mergeCell ref="B116:D116"/>
    <mergeCell ref="A117:E117"/>
    <mergeCell ref="A118:D118"/>
    <mergeCell ref="A121:E121"/>
    <mergeCell ref="B122:D122"/>
    <mergeCell ref="B123:D123"/>
    <mergeCell ref="A124:D124"/>
    <mergeCell ref="A127:D127"/>
    <mergeCell ref="B128:D128"/>
    <mergeCell ref="B129:D129"/>
    <mergeCell ref="B130:D130"/>
    <mergeCell ref="B131:D131"/>
    <mergeCell ref="A132:D132"/>
    <mergeCell ref="A134:C134"/>
    <mergeCell ref="A136:E136"/>
    <mergeCell ref="A138:E138"/>
    <mergeCell ref="A149:D149"/>
    <mergeCell ref="B150:D150"/>
    <mergeCell ref="B151:D151"/>
    <mergeCell ref="B152:D152"/>
    <mergeCell ref="B153:D153"/>
    <mergeCell ref="B154:D154"/>
    <mergeCell ref="A155:D155"/>
    <mergeCell ref="B156:D156"/>
    <mergeCell ref="A157:D157"/>
    <mergeCell ref="A158:D158"/>
    <mergeCell ref="A159:D159"/>
    <mergeCell ref="A160:D160"/>
    <mergeCell ref="A163:E163"/>
    <mergeCell ref="A164:D164"/>
    <mergeCell ref="A165:D165"/>
    <mergeCell ref="A173:B173"/>
    <mergeCell ref="A174:B174"/>
    <mergeCell ref="A175:B175"/>
    <mergeCell ref="A166:D166"/>
    <mergeCell ref="A167:D167"/>
    <mergeCell ref="A168:D168"/>
    <mergeCell ref="A169:D169"/>
    <mergeCell ref="A170:C170"/>
    <mergeCell ref="A171:D171"/>
  </mergeCells>
  <printOptions/>
  <pageMargins left="0.7874015748031497" right="0.7874015748031497" top="0.984251968503937" bottom="0.984251968503937" header="0.7086614173228347" footer="0.5118110236220472"/>
  <pageSetup orientation="landscape" paperSize="9" scale="92" r:id="rId1"/>
  <rowBreaks count="7" manualBreakCount="7">
    <brk id="26" max="255" man="1"/>
    <brk id="49" max="255" man="1"/>
    <brk id="69" max="255" man="1"/>
    <brk id="85" max="255" man="1"/>
    <brk id="107" max="4" man="1"/>
    <brk id="133" max="4" man="1"/>
    <brk id="16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76"/>
  <sheetViews>
    <sheetView view="pageBreakPreview" zoomScale="115" zoomScaleSheetLayoutView="115" zoomScalePageLayoutView="0" workbookViewId="0" topLeftCell="A1">
      <selection activeCell="A159" sqref="A159:D159"/>
    </sheetView>
  </sheetViews>
  <sheetFormatPr defaultColWidth="9.140625" defaultRowHeight="12.75"/>
  <cols>
    <col min="1" max="1" width="4.8515625" style="0" customWidth="1"/>
    <col min="2" max="2" width="59.28125" style="0" customWidth="1"/>
    <col min="3" max="3" width="26.57421875" style="0" customWidth="1"/>
    <col min="4" max="4" width="21.421875" style="0" customWidth="1"/>
    <col min="5" max="5" width="14.421875" style="0" customWidth="1"/>
    <col min="6" max="6" width="18.57421875" style="0" customWidth="1"/>
  </cols>
  <sheetData>
    <row r="1" spans="1:6" ht="15.75">
      <c r="A1" s="256" t="s">
        <v>65</v>
      </c>
      <c r="B1" s="256"/>
      <c r="C1" s="256"/>
      <c r="D1" s="256"/>
      <c r="E1" s="256"/>
      <c r="F1" s="345"/>
    </row>
    <row r="2" spans="1:6" ht="15.75">
      <c r="A2" s="256" t="s">
        <v>66</v>
      </c>
      <c r="B2" s="256"/>
      <c r="C2" s="256"/>
      <c r="D2" s="256"/>
      <c r="E2" s="256"/>
      <c r="F2" s="345"/>
    </row>
    <row r="3" spans="1:6" ht="15.75">
      <c r="A3" s="256" t="s">
        <v>970</v>
      </c>
      <c r="B3" s="256"/>
      <c r="C3" s="256"/>
      <c r="D3" s="256"/>
      <c r="E3" s="256"/>
      <c r="F3" s="345"/>
    </row>
    <row r="4" spans="1:6" ht="15.75">
      <c r="A4" s="672" t="s">
        <v>1062</v>
      </c>
      <c r="B4" s="672"/>
      <c r="C4" s="672"/>
      <c r="D4" s="672"/>
      <c r="E4" s="672"/>
      <c r="F4" s="345"/>
    </row>
    <row r="5" spans="1:6" ht="15.75">
      <c r="A5" s="260"/>
      <c r="B5" s="260"/>
      <c r="C5" s="260"/>
      <c r="D5" s="260"/>
      <c r="E5" s="260"/>
      <c r="F5" s="345"/>
    </row>
    <row r="6" spans="1:6" ht="15.75">
      <c r="A6" s="562" t="s">
        <v>67</v>
      </c>
      <c r="B6" s="563"/>
      <c r="C6" s="563"/>
      <c r="D6" s="563"/>
      <c r="E6" s="564"/>
      <c r="F6" s="345"/>
    </row>
    <row r="7" spans="1:6" ht="15.75">
      <c r="A7" s="261" t="s">
        <v>273</v>
      </c>
      <c r="B7" s="556" t="s">
        <v>274</v>
      </c>
      <c r="C7" s="557"/>
      <c r="D7" s="557"/>
      <c r="E7" s="262"/>
      <c r="F7" s="345"/>
    </row>
    <row r="8" spans="1:6" ht="15.75">
      <c r="A8" s="261" t="s">
        <v>275</v>
      </c>
      <c r="B8" s="556" t="s">
        <v>276</v>
      </c>
      <c r="C8" s="557"/>
      <c r="D8" s="557"/>
      <c r="E8" s="405" t="s">
        <v>969</v>
      </c>
      <c r="F8" s="345"/>
    </row>
    <row r="9" spans="1:6" ht="15.75">
      <c r="A9" s="261" t="s">
        <v>277</v>
      </c>
      <c r="B9" s="553" t="s">
        <v>895</v>
      </c>
      <c r="C9" s="554"/>
      <c r="D9" s="554"/>
      <c r="E9" s="263">
        <v>2022</v>
      </c>
      <c r="F9" s="345"/>
    </row>
    <row r="10" spans="1:6" ht="15.75">
      <c r="A10" s="261" t="s">
        <v>286</v>
      </c>
      <c r="B10" s="556" t="s">
        <v>278</v>
      </c>
      <c r="C10" s="557"/>
      <c r="D10" s="557"/>
      <c r="E10" s="263">
        <v>12</v>
      </c>
      <c r="F10" s="345"/>
    </row>
    <row r="11" spans="1:6" ht="15.75">
      <c r="A11" s="289"/>
      <c r="B11" s="400"/>
      <c r="C11" s="400"/>
      <c r="D11" s="400"/>
      <c r="E11" s="403"/>
      <c r="F11" s="345"/>
    </row>
    <row r="12" spans="1:6" ht="15.75">
      <c r="A12" s="289"/>
      <c r="B12" s="400"/>
      <c r="C12" s="400"/>
      <c r="D12" s="400"/>
      <c r="E12" s="403"/>
      <c r="F12" s="345"/>
    </row>
    <row r="13" spans="1:6" ht="15.75">
      <c r="A13" s="624" t="s">
        <v>896</v>
      </c>
      <c r="B13" s="625"/>
      <c r="C13" s="625"/>
      <c r="D13" s="625"/>
      <c r="E13" s="626"/>
      <c r="F13" s="345"/>
    </row>
    <row r="14" spans="1:6" ht="15.75">
      <c r="A14" s="407" t="s">
        <v>273</v>
      </c>
      <c r="B14" s="666" t="s">
        <v>68</v>
      </c>
      <c r="C14" s="667"/>
      <c r="D14" s="668"/>
      <c r="E14" s="673" t="s">
        <v>1031</v>
      </c>
      <c r="F14" s="345"/>
    </row>
    <row r="15" spans="1:6" ht="15.75">
      <c r="A15" s="261" t="s">
        <v>275</v>
      </c>
      <c r="B15" s="271" t="s">
        <v>72</v>
      </c>
      <c r="C15" s="272"/>
      <c r="D15" s="273"/>
      <c r="E15" s="674"/>
      <c r="F15" s="345"/>
    </row>
    <row r="16" spans="1:6" ht="15.75">
      <c r="A16" s="261" t="s">
        <v>277</v>
      </c>
      <c r="B16" s="408" t="s">
        <v>897</v>
      </c>
      <c r="C16" s="409"/>
      <c r="D16" s="410"/>
      <c r="E16" s="435" t="s">
        <v>974</v>
      </c>
      <c r="F16" s="345"/>
    </row>
    <row r="17" spans="1:6" ht="30">
      <c r="A17" s="261" t="s">
        <v>286</v>
      </c>
      <c r="B17" s="556" t="s">
        <v>279</v>
      </c>
      <c r="C17" s="557"/>
      <c r="D17" s="558"/>
      <c r="E17" s="317" t="s">
        <v>70</v>
      </c>
      <c r="F17" s="345"/>
    </row>
    <row r="18" spans="1:6" ht="15.75">
      <c r="A18" s="411" t="s">
        <v>289</v>
      </c>
      <c r="B18" s="267" t="s">
        <v>71</v>
      </c>
      <c r="C18" s="268"/>
      <c r="D18" s="269"/>
      <c r="E18" s="433">
        <v>1699.32</v>
      </c>
      <c r="F18" s="345"/>
    </row>
    <row r="19" spans="1:6" ht="15.75">
      <c r="A19" s="261" t="s">
        <v>290</v>
      </c>
      <c r="B19" s="271" t="s">
        <v>280</v>
      </c>
      <c r="C19" s="272"/>
      <c r="D19" s="273"/>
      <c r="E19" s="275" t="s">
        <v>1057</v>
      </c>
      <c r="F19" s="345"/>
    </row>
    <row r="20" spans="1:6" ht="15.75">
      <c r="A20" s="261" t="s">
        <v>296</v>
      </c>
      <c r="B20" s="556" t="s">
        <v>73</v>
      </c>
      <c r="C20" s="557"/>
      <c r="D20" s="558"/>
      <c r="E20" s="263">
        <v>3</v>
      </c>
      <c r="F20" s="345"/>
    </row>
    <row r="21" spans="1:6" ht="15.75">
      <c r="A21" s="264"/>
      <c r="B21" s="265"/>
      <c r="C21" s="265"/>
      <c r="D21" s="265"/>
      <c r="E21" s="266"/>
      <c r="F21" s="345"/>
    </row>
    <row r="22" spans="1:6" ht="35.25" customHeight="1">
      <c r="A22" s="669" t="s">
        <v>74</v>
      </c>
      <c r="B22" s="670"/>
      <c r="C22" s="671"/>
      <c r="D22" s="425" t="s">
        <v>76</v>
      </c>
      <c r="E22" s="412" t="s">
        <v>282</v>
      </c>
      <c r="F22" s="345"/>
    </row>
    <row r="23" spans="1:6" ht="15.75">
      <c r="A23" s="261" t="s">
        <v>273</v>
      </c>
      <c r="B23" s="279" t="s">
        <v>899</v>
      </c>
      <c r="C23" s="280"/>
      <c r="D23" s="281"/>
      <c r="E23" s="270">
        <v>1699.32</v>
      </c>
      <c r="F23" s="345"/>
    </row>
    <row r="24" spans="1:6" ht="15.75">
      <c r="A24" s="261" t="s">
        <v>275</v>
      </c>
      <c r="B24" s="279" t="s">
        <v>75</v>
      </c>
      <c r="C24" s="280"/>
      <c r="D24" s="282">
        <v>0</v>
      </c>
      <c r="E24" s="270">
        <f>ROUND((E23*D24),2)</f>
        <v>0</v>
      </c>
      <c r="F24" s="345"/>
    </row>
    <row r="25" spans="1:6" ht="15.75">
      <c r="A25" s="654" t="s">
        <v>900</v>
      </c>
      <c r="B25" s="655"/>
      <c r="C25" s="655"/>
      <c r="D25" s="655"/>
      <c r="E25" s="656"/>
      <c r="F25" s="345"/>
    </row>
    <row r="26" spans="1:6" ht="15.75">
      <c r="A26" s="261" t="s">
        <v>277</v>
      </c>
      <c r="B26" s="271" t="s">
        <v>901</v>
      </c>
      <c r="C26" s="272"/>
      <c r="D26" s="281"/>
      <c r="E26" s="270">
        <f>E23+E24</f>
        <v>1699.32</v>
      </c>
      <c r="F26" s="345"/>
    </row>
    <row r="27" spans="1:6" ht="15.75">
      <c r="A27" s="264"/>
      <c r="B27" s="283"/>
      <c r="C27" s="264"/>
      <c r="D27" s="284"/>
      <c r="E27" s="285"/>
      <c r="F27" s="345"/>
    </row>
    <row r="28" spans="1:6" ht="15.75">
      <c r="A28" s="264"/>
      <c r="B28" s="283"/>
      <c r="C28" s="264"/>
      <c r="D28" s="284"/>
      <c r="E28" s="285"/>
      <c r="F28" s="345"/>
    </row>
    <row r="29" spans="1:6" ht="35.25" customHeight="1">
      <c r="A29" s="663" t="s">
        <v>902</v>
      </c>
      <c r="B29" s="664"/>
      <c r="C29" s="665"/>
      <c r="D29" s="413" t="s">
        <v>76</v>
      </c>
      <c r="E29" s="412" t="s">
        <v>282</v>
      </c>
      <c r="F29" s="345"/>
    </row>
    <row r="30" spans="1:6" ht="15.75">
      <c r="A30" s="562" t="s">
        <v>903</v>
      </c>
      <c r="B30" s="563"/>
      <c r="C30" s="563"/>
      <c r="D30" s="563"/>
      <c r="E30" s="564"/>
      <c r="F30" s="345"/>
    </row>
    <row r="31" spans="1:6" ht="15.75">
      <c r="A31" s="414" t="s">
        <v>561</v>
      </c>
      <c r="B31" s="297" t="s">
        <v>904</v>
      </c>
      <c r="C31" s="299"/>
      <c r="D31" s="300" t="s">
        <v>281</v>
      </c>
      <c r="E31" s="301" t="s">
        <v>577</v>
      </c>
      <c r="F31" s="345"/>
    </row>
    <row r="32" spans="1:6" ht="15.75">
      <c r="A32" s="302" t="s">
        <v>273</v>
      </c>
      <c r="B32" s="303" t="s">
        <v>305</v>
      </c>
      <c r="C32" s="304"/>
      <c r="D32" s="305">
        <v>0.0833</v>
      </c>
      <c r="E32" s="270">
        <f>ROUND((E26*D32),2)</f>
        <v>141.55</v>
      </c>
      <c r="F32" s="345"/>
    </row>
    <row r="33" spans="1:6" ht="15.75">
      <c r="A33" s="654" t="s">
        <v>82</v>
      </c>
      <c r="B33" s="655"/>
      <c r="C33" s="655"/>
      <c r="D33" s="655"/>
      <c r="E33" s="656"/>
      <c r="F33" s="345"/>
    </row>
    <row r="34" spans="1:6" ht="15.75">
      <c r="A34" s="307" t="s">
        <v>275</v>
      </c>
      <c r="B34" s="308" t="s">
        <v>905</v>
      </c>
      <c r="C34" s="309"/>
      <c r="D34" s="415">
        <v>0.121</v>
      </c>
      <c r="E34" s="292">
        <f>ROUND((E26*D34),2)</f>
        <v>205.62</v>
      </c>
      <c r="F34" s="345"/>
    </row>
    <row r="35" spans="1:6" ht="15.75">
      <c r="A35" s="590" t="s">
        <v>906</v>
      </c>
      <c r="B35" s="591"/>
      <c r="C35" s="591"/>
      <c r="D35" s="591"/>
      <c r="E35" s="592"/>
      <c r="F35" s="345"/>
    </row>
    <row r="36" spans="1:6" ht="15.75">
      <c r="A36" s="662" t="s">
        <v>907</v>
      </c>
      <c r="B36" s="662"/>
      <c r="C36" s="662"/>
      <c r="D36" s="662"/>
      <c r="E36" s="270">
        <f>ROUND((E32+E34),2)</f>
        <v>347.17</v>
      </c>
      <c r="F36" s="345"/>
    </row>
    <row r="37" spans="1:6" ht="15.75">
      <c r="A37" s="306"/>
      <c r="B37" s="306"/>
      <c r="C37" s="306"/>
      <c r="D37" s="306"/>
      <c r="E37" s="285"/>
      <c r="F37" s="345"/>
    </row>
    <row r="38" spans="1:6" ht="15.75">
      <c r="A38" s="306"/>
      <c r="B38" s="306"/>
      <c r="C38" s="306"/>
      <c r="D38" s="306"/>
      <c r="E38" s="285"/>
      <c r="F38" s="345"/>
    </row>
    <row r="39" spans="1:6" ht="15.75">
      <c r="A39" s="660" t="s">
        <v>908</v>
      </c>
      <c r="B39" s="660"/>
      <c r="C39" s="660"/>
      <c r="D39" s="660"/>
      <c r="E39" s="660"/>
      <c r="F39" s="345"/>
    </row>
    <row r="40" spans="1:6" ht="15.75">
      <c r="A40" s="261" t="s">
        <v>273</v>
      </c>
      <c r="B40" s="552" t="s">
        <v>318</v>
      </c>
      <c r="C40" s="552"/>
      <c r="D40" s="447">
        <v>0.2</v>
      </c>
      <c r="E40" s="270">
        <f>ROUND((($E$26+$E$36)*D40),2)</f>
        <v>409.3</v>
      </c>
      <c r="F40" s="345"/>
    </row>
    <row r="41" spans="1:6" ht="15.75">
      <c r="A41" s="261" t="s">
        <v>275</v>
      </c>
      <c r="B41" s="552" t="s">
        <v>79</v>
      </c>
      <c r="C41" s="552"/>
      <c r="D41" s="416">
        <v>0.015</v>
      </c>
      <c r="E41" s="270">
        <f aca="true" t="shared" si="0" ref="E41:E48">ROUND((($E$26+$E$36)*D41),2)</f>
        <v>30.7</v>
      </c>
      <c r="F41" s="345"/>
    </row>
    <row r="42" spans="1:6" ht="15.75">
      <c r="A42" s="261" t="s">
        <v>277</v>
      </c>
      <c r="B42" s="552" t="s">
        <v>80</v>
      </c>
      <c r="C42" s="552"/>
      <c r="D42" s="416">
        <v>0.01</v>
      </c>
      <c r="E42" s="270">
        <f t="shared" si="0"/>
        <v>20.46</v>
      </c>
      <c r="F42" s="345"/>
    </row>
    <row r="43" spans="1:6" ht="15.75">
      <c r="A43" s="261" t="s">
        <v>286</v>
      </c>
      <c r="B43" s="552" t="s">
        <v>293</v>
      </c>
      <c r="C43" s="552"/>
      <c r="D43" s="416">
        <v>0.002</v>
      </c>
      <c r="E43" s="270">
        <f t="shared" si="0"/>
        <v>4.09</v>
      </c>
      <c r="F43" s="345"/>
    </row>
    <row r="44" spans="1:6" ht="15.75">
      <c r="A44" s="261" t="s">
        <v>289</v>
      </c>
      <c r="B44" s="552" t="s">
        <v>294</v>
      </c>
      <c r="C44" s="552"/>
      <c r="D44" s="416">
        <v>0.025</v>
      </c>
      <c r="E44" s="270">
        <f t="shared" si="0"/>
        <v>51.16</v>
      </c>
      <c r="F44" s="345"/>
    </row>
    <row r="45" spans="1:6" ht="15.75">
      <c r="A45" s="296" t="s">
        <v>290</v>
      </c>
      <c r="B45" s="552" t="s">
        <v>295</v>
      </c>
      <c r="C45" s="552"/>
      <c r="D45" s="416">
        <v>0.08</v>
      </c>
      <c r="E45" s="270">
        <f t="shared" si="0"/>
        <v>163.72</v>
      </c>
      <c r="F45" s="345"/>
    </row>
    <row r="46" spans="1:6" ht="15.75">
      <c r="A46" s="296" t="s">
        <v>296</v>
      </c>
      <c r="B46" s="659" t="s">
        <v>81</v>
      </c>
      <c r="C46" s="659"/>
      <c r="D46" s="416">
        <v>0.06</v>
      </c>
      <c r="E46" s="270">
        <f t="shared" si="0"/>
        <v>122.79</v>
      </c>
      <c r="F46" s="345"/>
    </row>
    <row r="47" spans="1:6" ht="15.75">
      <c r="A47" s="296" t="s">
        <v>297</v>
      </c>
      <c r="B47" s="552" t="s">
        <v>298</v>
      </c>
      <c r="C47" s="552"/>
      <c r="D47" s="259">
        <v>0.006</v>
      </c>
      <c r="E47" s="270">
        <f t="shared" si="0"/>
        <v>12.28</v>
      </c>
      <c r="F47" s="345"/>
    </row>
    <row r="48" spans="1:6" ht="15.75">
      <c r="A48" s="659" t="s">
        <v>909</v>
      </c>
      <c r="B48" s="659"/>
      <c r="C48" s="659"/>
      <c r="D48" s="259">
        <f>SUM(D40:D47)</f>
        <v>0.3980000000000001</v>
      </c>
      <c r="E48" s="270">
        <f t="shared" si="0"/>
        <v>814.5</v>
      </c>
      <c r="F48" s="345"/>
    </row>
    <row r="49" spans="1:6" ht="15.75">
      <c r="A49" s="659" t="s">
        <v>910</v>
      </c>
      <c r="B49" s="659"/>
      <c r="C49" s="659"/>
      <c r="D49" s="659"/>
      <c r="E49" s="659"/>
      <c r="F49" s="345"/>
    </row>
    <row r="50" spans="1:6" ht="15.75">
      <c r="A50" s="346"/>
      <c r="B50" s="346"/>
      <c r="C50" s="346"/>
      <c r="D50" s="346"/>
      <c r="E50" s="346"/>
      <c r="F50" s="345"/>
    </row>
    <row r="51" spans="1:6" ht="15.75">
      <c r="A51" s="346"/>
      <c r="B51" s="346"/>
      <c r="C51" s="346"/>
      <c r="D51" s="347"/>
      <c r="E51" s="285"/>
      <c r="F51" s="345"/>
    </row>
    <row r="52" spans="1:5" ht="15">
      <c r="A52" s="660" t="s">
        <v>911</v>
      </c>
      <c r="B52" s="660"/>
      <c r="C52" s="660"/>
      <c r="D52" s="660"/>
      <c r="E52" s="660"/>
    </row>
    <row r="53" spans="1:5" ht="15">
      <c r="A53" s="279" t="s">
        <v>273</v>
      </c>
      <c r="B53" s="279" t="s">
        <v>284</v>
      </c>
      <c r="C53" s="288">
        <v>0.06</v>
      </c>
      <c r="D53" s="270">
        <f>'B1) ELETRICISTA'!D53</f>
        <v>3.9</v>
      </c>
      <c r="E53" s="270">
        <f>IF(ROUND((D53*2*21-C53*E23),2)&lt;0,0,ROUND((D53*2*21-C53*E23),2))</f>
        <v>61.84</v>
      </c>
    </row>
    <row r="54" spans="1:5" ht="15">
      <c r="A54" s="289" t="s">
        <v>275</v>
      </c>
      <c r="B54" s="290" t="s">
        <v>285</v>
      </c>
      <c r="C54" s="291">
        <v>0.01</v>
      </c>
      <c r="D54" s="270">
        <f>'B1) ELETRICISTA'!D54</f>
        <v>23.11</v>
      </c>
      <c r="E54" s="270">
        <f>ROUND(D54*21-C54*D54*21,2)</f>
        <v>480.46</v>
      </c>
    </row>
    <row r="55" spans="1:5" ht="15">
      <c r="A55" s="289" t="s">
        <v>277</v>
      </c>
      <c r="B55" s="257" t="s">
        <v>78</v>
      </c>
      <c r="C55" s="291">
        <v>0.5</v>
      </c>
      <c r="D55" s="270">
        <f>'B1) ELETRICISTA'!D55</f>
        <v>81.99</v>
      </c>
      <c r="E55" s="270">
        <f>ROUND((D55*C55),2)</f>
        <v>41</v>
      </c>
    </row>
    <row r="56" spans="1:5" s="5" customFormat="1" ht="15">
      <c r="A56" s="289" t="s">
        <v>286</v>
      </c>
      <c r="B56" s="279" t="s">
        <v>77</v>
      </c>
      <c r="C56" s="261"/>
      <c r="D56" s="270"/>
      <c r="E56" s="293">
        <f>'B1) ELETRICISTA'!E56</f>
        <v>88.04</v>
      </c>
    </row>
    <row r="57" spans="1:5" ht="15">
      <c r="A57" s="289" t="s">
        <v>289</v>
      </c>
      <c r="B57" s="279" t="s">
        <v>287</v>
      </c>
      <c r="C57" s="291">
        <v>0.02</v>
      </c>
      <c r="D57" s="270">
        <v>222.36</v>
      </c>
      <c r="E57" s="293">
        <f>D57*6/12*C57</f>
        <v>2.2236000000000002</v>
      </c>
    </row>
    <row r="58" spans="1:5" ht="16.5" customHeight="1">
      <c r="A58" s="661" t="s">
        <v>971</v>
      </c>
      <c r="B58" s="603"/>
      <c r="C58" s="603"/>
      <c r="D58" s="603"/>
      <c r="E58" s="604"/>
    </row>
    <row r="59" spans="1:5" ht="15">
      <c r="A59" s="289" t="s">
        <v>290</v>
      </c>
      <c r="B59" s="279" t="s">
        <v>1058</v>
      </c>
      <c r="C59" s="468">
        <v>0.01</v>
      </c>
      <c r="D59" s="281"/>
      <c r="E59" s="294">
        <f>ROUND(((3*E23*C59)/12),2)</f>
        <v>4.25</v>
      </c>
    </row>
    <row r="60" spans="1:5" ht="15">
      <c r="A60" s="659" t="s">
        <v>912</v>
      </c>
      <c r="B60" s="659"/>
      <c r="C60" s="659"/>
      <c r="D60" s="281"/>
      <c r="E60" s="270">
        <f>SUM(E53:E59)</f>
        <v>677.8136</v>
      </c>
    </row>
    <row r="61" spans="1:5" ht="15">
      <c r="A61" s="346"/>
      <c r="B61" s="346"/>
      <c r="C61" s="346"/>
      <c r="D61" s="284"/>
      <c r="E61" s="285"/>
    </row>
    <row r="62" spans="1:5" ht="15">
      <c r="A62" s="346"/>
      <c r="B62" s="346"/>
      <c r="C62" s="346"/>
      <c r="D62" s="284"/>
      <c r="E62" s="285"/>
    </row>
    <row r="63" spans="1:5" ht="15">
      <c r="A63" s="583" t="s">
        <v>913</v>
      </c>
      <c r="B63" s="583"/>
      <c r="C63" s="583"/>
      <c r="D63" s="583"/>
      <c r="E63" s="583"/>
    </row>
    <row r="64" spans="1:5" ht="15">
      <c r="A64" s="404" t="s">
        <v>561</v>
      </c>
      <c r="B64" s="576" t="s">
        <v>904</v>
      </c>
      <c r="C64" s="569"/>
      <c r="D64" s="570"/>
      <c r="E64" s="417">
        <f>E36</f>
        <v>347.17</v>
      </c>
    </row>
    <row r="65" spans="1:5" ht="15">
      <c r="A65" s="404" t="s">
        <v>562</v>
      </c>
      <c r="B65" s="576" t="s">
        <v>914</v>
      </c>
      <c r="C65" s="569"/>
      <c r="D65" s="570"/>
      <c r="E65" s="418">
        <f>E48</f>
        <v>814.5</v>
      </c>
    </row>
    <row r="66" spans="1:5" ht="15">
      <c r="A66" s="553" t="s">
        <v>915</v>
      </c>
      <c r="B66" s="554"/>
      <c r="C66" s="554"/>
      <c r="D66" s="555"/>
      <c r="E66" s="418"/>
    </row>
    <row r="67" spans="1:5" ht="15">
      <c r="A67" s="404" t="s">
        <v>563</v>
      </c>
      <c r="B67" s="553" t="s">
        <v>916</v>
      </c>
      <c r="C67" s="554"/>
      <c r="D67" s="555"/>
      <c r="E67" s="417">
        <f>E60</f>
        <v>677.8136</v>
      </c>
    </row>
    <row r="68" spans="1:5" ht="15">
      <c r="A68" s="553" t="s">
        <v>917</v>
      </c>
      <c r="B68" s="554"/>
      <c r="C68" s="554"/>
      <c r="D68" s="555"/>
      <c r="E68" s="417">
        <f>SUM(E64:E67)</f>
        <v>1839.4836</v>
      </c>
    </row>
    <row r="69" spans="1:5" ht="15">
      <c r="A69" s="339"/>
      <c r="B69" s="339"/>
      <c r="C69" s="339"/>
      <c r="D69" s="339"/>
      <c r="E69" s="419"/>
    </row>
    <row r="70" spans="1:5" ht="15">
      <c r="A70" s="339"/>
      <c r="B70" s="339"/>
      <c r="C70" s="339"/>
      <c r="D70" s="339"/>
      <c r="E70" s="419"/>
    </row>
    <row r="71" spans="1:5" ht="35.25" customHeight="1">
      <c r="A71" s="624" t="s">
        <v>918</v>
      </c>
      <c r="B71" s="625"/>
      <c r="C71" s="626"/>
      <c r="D71" s="406" t="s">
        <v>76</v>
      </c>
      <c r="E71" s="420" t="s">
        <v>282</v>
      </c>
    </row>
    <row r="72" spans="1:5" ht="15">
      <c r="A72" s="401" t="s">
        <v>273</v>
      </c>
      <c r="B72" s="657" t="s">
        <v>309</v>
      </c>
      <c r="C72" s="658"/>
      <c r="D72" s="402">
        <v>0.05</v>
      </c>
      <c r="E72" s="270">
        <f>ROUND(((E26/12)*D72),2)</f>
        <v>7.08</v>
      </c>
    </row>
    <row r="73" spans="1:5" ht="15">
      <c r="A73" s="653" t="s">
        <v>310</v>
      </c>
      <c r="B73" s="653"/>
      <c r="C73" s="653"/>
      <c r="D73" s="653"/>
      <c r="E73" s="653"/>
    </row>
    <row r="74" spans="1:5" ht="29.25" customHeight="1">
      <c r="A74" s="590" t="s">
        <v>919</v>
      </c>
      <c r="B74" s="591"/>
      <c r="C74" s="591"/>
      <c r="D74" s="591"/>
      <c r="E74" s="592"/>
    </row>
    <row r="75" spans="1:5" ht="15">
      <c r="A75" s="318" t="s">
        <v>275</v>
      </c>
      <c r="B75" s="543" t="s">
        <v>311</v>
      </c>
      <c r="C75" s="544"/>
      <c r="D75" s="545"/>
      <c r="E75" s="319">
        <f>ROUND((E72*0.08),2)</f>
        <v>0.57</v>
      </c>
    </row>
    <row r="76" spans="1:5" ht="15">
      <c r="A76" s="654" t="s">
        <v>920</v>
      </c>
      <c r="B76" s="655"/>
      <c r="C76" s="655"/>
      <c r="D76" s="655"/>
      <c r="E76" s="656"/>
    </row>
    <row r="77" spans="1:5" ht="15">
      <c r="A77" s="421" t="s">
        <v>277</v>
      </c>
      <c r="B77" s="546" t="s">
        <v>921</v>
      </c>
      <c r="C77" s="547"/>
      <c r="D77" s="548"/>
      <c r="E77" s="422"/>
    </row>
    <row r="78" spans="1:5" ht="30" customHeight="1">
      <c r="A78" s="590" t="s">
        <v>922</v>
      </c>
      <c r="B78" s="591"/>
      <c r="C78" s="591"/>
      <c r="D78" s="591"/>
      <c r="E78" s="592"/>
    </row>
    <row r="79" spans="1:5" ht="15">
      <c r="A79" s="320" t="s">
        <v>286</v>
      </c>
      <c r="B79" s="640" t="s">
        <v>312</v>
      </c>
      <c r="C79" s="640"/>
      <c r="D79" s="640"/>
      <c r="E79" s="423">
        <f>ROUND((((E26/30)/12)*7*1),2)</f>
        <v>33.04</v>
      </c>
    </row>
    <row r="80" spans="1:5" ht="30" customHeight="1">
      <c r="A80" s="641" t="s">
        <v>923</v>
      </c>
      <c r="B80" s="642"/>
      <c r="C80" s="642"/>
      <c r="D80" s="642"/>
      <c r="E80" s="643"/>
    </row>
    <row r="81" spans="1:5" ht="15">
      <c r="A81" s="302" t="s">
        <v>289</v>
      </c>
      <c r="B81" s="644" t="s">
        <v>924</v>
      </c>
      <c r="C81" s="645"/>
      <c r="D81" s="646"/>
      <c r="E81" s="321">
        <f>ROUND((D48*E79),2)</f>
        <v>13.15</v>
      </c>
    </row>
    <row r="82" spans="1:5" ht="15">
      <c r="A82" s="322" t="s">
        <v>290</v>
      </c>
      <c r="B82" s="647" t="s">
        <v>925</v>
      </c>
      <c r="C82" s="648"/>
      <c r="D82" s="649"/>
      <c r="E82" s="323">
        <f>ROUND(((E26+E32+E34)*0.4*0.08*1),2)</f>
        <v>65.49</v>
      </c>
    </row>
    <row r="83" spans="1:5" ht="29.25" customHeight="1">
      <c r="A83" s="641" t="s">
        <v>926</v>
      </c>
      <c r="B83" s="642"/>
      <c r="C83" s="642"/>
      <c r="D83" s="642"/>
      <c r="E83" s="643"/>
    </row>
    <row r="84" spans="1:5" ht="15">
      <c r="A84" s="650" t="s">
        <v>927</v>
      </c>
      <c r="B84" s="651"/>
      <c r="C84" s="651"/>
      <c r="D84" s="652"/>
      <c r="E84" s="324">
        <f>ROUND((E72+E75+E77+E79+E81+E82),2)</f>
        <v>119.33</v>
      </c>
    </row>
    <row r="85" spans="1:5" ht="15">
      <c r="A85" s="306"/>
      <c r="B85" s="306"/>
      <c r="C85" s="306"/>
      <c r="D85" s="306"/>
      <c r="E85" s="424"/>
    </row>
    <row r="86" spans="1:5" ht="15">
      <c r="A86" s="306"/>
      <c r="B86" s="306"/>
      <c r="C86" s="306"/>
      <c r="D86" s="306"/>
      <c r="E86" s="424"/>
    </row>
    <row r="87" spans="1:5" ht="30">
      <c r="A87" s="624" t="s">
        <v>928</v>
      </c>
      <c r="B87" s="625"/>
      <c r="C87" s="626"/>
      <c r="D87" s="425" t="s">
        <v>76</v>
      </c>
      <c r="E87" s="412" t="s">
        <v>282</v>
      </c>
    </row>
    <row r="88" spans="1:5" ht="15">
      <c r="A88" s="627" t="s">
        <v>929</v>
      </c>
      <c r="B88" s="628"/>
      <c r="C88" s="628"/>
      <c r="D88" s="628"/>
      <c r="E88" s="629"/>
    </row>
    <row r="89" spans="1:5" ht="15">
      <c r="A89" s="318" t="s">
        <v>273</v>
      </c>
      <c r="B89" s="297" t="s">
        <v>930</v>
      </c>
      <c r="C89" s="298"/>
      <c r="D89" s="298"/>
      <c r="E89" s="325">
        <f>ROUND(((E26+E68+E84)*12.1/100/12),2)</f>
        <v>36.89</v>
      </c>
    </row>
    <row r="90" spans="1:5" ht="15">
      <c r="A90" s="630" t="s">
        <v>931</v>
      </c>
      <c r="B90" s="631"/>
      <c r="C90" s="631"/>
      <c r="D90" s="631"/>
      <c r="E90" s="632"/>
    </row>
    <row r="91" spans="1:5" ht="33" customHeight="1">
      <c r="A91" s="613" t="s">
        <v>275</v>
      </c>
      <c r="B91" s="634" t="s">
        <v>932</v>
      </c>
      <c r="C91" s="635"/>
      <c r="D91" s="326" t="s">
        <v>84</v>
      </c>
      <c r="E91" s="638">
        <f>ROUND((((E26/30)/12)*D92),2)</f>
        <v>14.16</v>
      </c>
    </row>
    <row r="92" spans="1:5" ht="15">
      <c r="A92" s="633"/>
      <c r="B92" s="636"/>
      <c r="C92" s="637"/>
      <c r="D92" s="327">
        <v>3</v>
      </c>
      <c r="E92" s="639"/>
    </row>
    <row r="93" spans="1:5" ht="15">
      <c r="A93" s="590" t="s">
        <v>933</v>
      </c>
      <c r="B93" s="591"/>
      <c r="C93" s="591"/>
      <c r="D93" s="591"/>
      <c r="E93" s="592"/>
    </row>
    <row r="94" spans="1:5" ht="15">
      <c r="A94" s="590" t="s">
        <v>934</v>
      </c>
      <c r="B94" s="591"/>
      <c r="C94" s="591"/>
      <c r="D94" s="591"/>
      <c r="E94" s="592"/>
    </row>
    <row r="95" spans="1:5" ht="36" customHeight="1">
      <c r="A95" s="617" t="s">
        <v>277</v>
      </c>
      <c r="B95" s="618" t="s">
        <v>935</v>
      </c>
      <c r="C95" s="317" t="s">
        <v>85</v>
      </c>
      <c r="D95" s="317" t="s">
        <v>288</v>
      </c>
      <c r="E95" s="620">
        <f>ROUND((((E26/30)/12)*C96*D96),2)</f>
        <v>0.35</v>
      </c>
    </row>
    <row r="96" spans="1:5" ht="15">
      <c r="A96" s="617"/>
      <c r="B96" s="619"/>
      <c r="C96" s="263">
        <v>5</v>
      </c>
      <c r="D96" s="328">
        <v>0.015</v>
      </c>
      <c r="E96" s="620"/>
    </row>
    <row r="97" spans="1:5" ht="30" customHeight="1">
      <c r="A97" s="621" t="s">
        <v>936</v>
      </c>
      <c r="B97" s="622"/>
      <c r="C97" s="622"/>
      <c r="D97" s="622"/>
      <c r="E97" s="623"/>
    </row>
    <row r="98" spans="1:5" ht="15">
      <c r="A98" s="590" t="s">
        <v>937</v>
      </c>
      <c r="B98" s="591"/>
      <c r="C98" s="591"/>
      <c r="D98" s="591"/>
      <c r="E98" s="592"/>
    </row>
    <row r="99" spans="1:5" ht="31.5" customHeight="1">
      <c r="A99" s="613" t="s">
        <v>286</v>
      </c>
      <c r="B99" s="614" t="s">
        <v>938</v>
      </c>
      <c r="C99" s="329" t="s">
        <v>314</v>
      </c>
      <c r="D99" s="326" t="s">
        <v>288</v>
      </c>
      <c r="E99" s="616">
        <f>ROUND((((E26/30)/12)*C100*D100),2)</f>
        <v>4.25</v>
      </c>
    </row>
    <row r="100" spans="1:5" ht="15">
      <c r="A100" s="613"/>
      <c r="B100" s="615"/>
      <c r="C100" s="312">
        <v>15</v>
      </c>
      <c r="D100" s="330">
        <v>0.06</v>
      </c>
      <c r="E100" s="616"/>
    </row>
    <row r="101" spans="1:5" ht="30" customHeight="1">
      <c r="A101" s="587" t="s">
        <v>939</v>
      </c>
      <c r="B101" s="588"/>
      <c r="C101" s="588"/>
      <c r="D101" s="588"/>
      <c r="E101" s="589"/>
    </row>
    <row r="102" spans="1:5" ht="30" customHeight="1">
      <c r="A102" s="590" t="s">
        <v>940</v>
      </c>
      <c r="B102" s="591"/>
      <c r="C102" s="591"/>
      <c r="D102" s="591"/>
      <c r="E102" s="592"/>
    </row>
    <row r="103" spans="1:5" ht="15">
      <c r="A103" s="314" t="s">
        <v>289</v>
      </c>
      <c r="B103" s="605" t="s">
        <v>941</v>
      </c>
      <c r="C103" s="606"/>
      <c r="D103" s="607"/>
      <c r="E103" s="257"/>
    </row>
    <row r="104" spans="1:5" ht="15">
      <c r="A104" s="331" t="s">
        <v>306</v>
      </c>
      <c r="B104" s="332"/>
      <c r="C104" s="332"/>
      <c r="D104" s="332"/>
      <c r="E104" s="270">
        <f>SUM(E89+E91+E95+E99)</f>
        <v>55.65</v>
      </c>
    </row>
    <row r="105" spans="1:5" ht="15">
      <c r="A105" s="307" t="s">
        <v>290</v>
      </c>
      <c r="B105" s="608" t="s">
        <v>942</v>
      </c>
      <c r="C105" s="609"/>
      <c r="D105" s="609"/>
      <c r="E105" s="292">
        <f>ROUND((D48*E104),2)</f>
        <v>22.15</v>
      </c>
    </row>
    <row r="106" spans="1:5" ht="15">
      <c r="A106" s="610" t="s">
        <v>943</v>
      </c>
      <c r="B106" s="610"/>
      <c r="C106" s="610"/>
      <c r="D106" s="610"/>
      <c r="E106" s="270">
        <f>ROUND((E104+E105),2)</f>
        <v>77.8</v>
      </c>
    </row>
    <row r="107" spans="1:5" ht="15">
      <c r="A107" s="348"/>
      <c r="B107" s="348"/>
      <c r="C107" s="348"/>
      <c r="D107" s="348"/>
      <c r="E107" s="285"/>
    </row>
    <row r="108" spans="1:5" ht="15">
      <c r="A108" s="348"/>
      <c r="B108" s="348"/>
      <c r="C108" s="348"/>
      <c r="D108" s="348"/>
      <c r="E108" s="285"/>
    </row>
    <row r="109" spans="1:5" ht="15">
      <c r="A109" s="611" t="s">
        <v>944</v>
      </c>
      <c r="B109" s="611"/>
      <c r="C109" s="611"/>
      <c r="D109" s="611"/>
      <c r="E109" s="611"/>
    </row>
    <row r="110" spans="1:5" ht="18.75" customHeight="1">
      <c r="A110" s="612" t="s">
        <v>273</v>
      </c>
      <c r="B110" s="614" t="s">
        <v>945</v>
      </c>
      <c r="C110" s="311" t="s">
        <v>308</v>
      </c>
      <c r="D110" s="311" t="s">
        <v>288</v>
      </c>
      <c r="E110" s="301" t="s">
        <v>577</v>
      </c>
    </row>
    <row r="111" spans="1:5" ht="15">
      <c r="A111" s="613"/>
      <c r="B111" s="615"/>
      <c r="C111" s="312">
        <v>4</v>
      </c>
      <c r="D111" s="313">
        <v>0.02</v>
      </c>
      <c r="E111" s="270">
        <f>ROUND(((E26+E26/3)*(4/12)/12*(D111)),2)</f>
        <v>1.26</v>
      </c>
    </row>
    <row r="112" spans="1:5" ht="30.75" customHeight="1">
      <c r="A112" s="587" t="s">
        <v>946</v>
      </c>
      <c r="B112" s="588"/>
      <c r="C112" s="588"/>
      <c r="D112" s="588"/>
      <c r="E112" s="589"/>
    </row>
    <row r="113" spans="1:5" ht="32.25" customHeight="1">
      <c r="A113" s="590" t="s">
        <v>947</v>
      </c>
      <c r="B113" s="591"/>
      <c r="C113" s="591"/>
      <c r="D113" s="591"/>
      <c r="E113" s="592"/>
    </row>
    <row r="114" spans="1:5" ht="30" customHeight="1">
      <c r="A114" s="314" t="s">
        <v>275</v>
      </c>
      <c r="B114" s="593" t="s">
        <v>948</v>
      </c>
      <c r="C114" s="594"/>
      <c r="D114" s="595"/>
      <c r="E114" s="270">
        <f>ROUND((E111*D48),2)</f>
        <v>0.5</v>
      </c>
    </row>
    <row r="115" spans="1:5" ht="15">
      <c r="A115" s="596" t="s">
        <v>949</v>
      </c>
      <c r="B115" s="597"/>
      <c r="C115" s="597"/>
      <c r="D115" s="597"/>
      <c r="E115" s="598"/>
    </row>
    <row r="116" spans="1:5" ht="16.5" customHeight="1">
      <c r="A116" s="426" t="s">
        <v>277</v>
      </c>
      <c r="B116" s="599" t="s">
        <v>950</v>
      </c>
      <c r="C116" s="600"/>
      <c r="D116" s="601"/>
      <c r="E116" s="292">
        <f>ROUND(((E26+E32)*(4/12)*D111*D45),2)</f>
        <v>0.98</v>
      </c>
    </row>
    <row r="117" spans="1:5" ht="29.25" customHeight="1">
      <c r="A117" s="602" t="s">
        <v>951</v>
      </c>
      <c r="B117" s="603"/>
      <c r="C117" s="603"/>
      <c r="D117" s="603"/>
      <c r="E117" s="604"/>
    </row>
    <row r="118" spans="1:5" ht="15">
      <c r="A118" s="580" t="s">
        <v>952</v>
      </c>
      <c r="B118" s="581"/>
      <c r="C118" s="581"/>
      <c r="D118" s="582"/>
      <c r="E118" s="270">
        <f>ROUND((E111+E114+E116),2)</f>
        <v>2.74</v>
      </c>
    </row>
    <row r="119" spans="1:5" ht="15">
      <c r="A119" s="348"/>
      <c r="B119" s="348"/>
      <c r="C119" s="348"/>
      <c r="D119" s="348"/>
      <c r="E119" s="285"/>
    </row>
    <row r="120" spans="1:5" ht="15.75">
      <c r="A120" s="264"/>
      <c r="B120" s="266"/>
      <c r="C120" s="266"/>
      <c r="D120" s="266"/>
      <c r="E120" s="345"/>
    </row>
    <row r="121" spans="1:5" ht="15">
      <c r="A121" s="583" t="s">
        <v>953</v>
      </c>
      <c r="B121" s="583"/>
      <c r="C121" s="583"/>
      <c r="D121" s="583"/>
      <c r="E121" s="583"/>
    </row>
    <row r="122" spans="1:5" ht="15">
      <c r="A122" s="404" t="s">
        <v>292</v>
      </c>
      <c r="B122" s="576" t="s">
        <v>313</v>
      </c>
      <c r="C122" s="569"/>
      <c r="D122" s="570"/>
      <c r="E122" s="417">
        <f>E106</f>
        <v>77.8</v>
      </c>
    </row>
    <row r="123" spans="1:5" ht="16.5" customHeight="1">
      <c r="A123" s="404" t="s">
        <v>954</v>
      </c>
      <c r="B123" s="576" t="s">
        <v>315</v>
      </c>
      <c r="C123" s="569"/>
      <c r="D123" s="570"/>
      <c r="E123" s="418">
        <f>E118</f>
        <v>2.74</v>
      </c>
    </row>
    <row r="124" spans="1:5" ht="15">
      <c r="A124" s="553" t="s">
        <v>955</v>
      </c>
      <c r="B124" s="554"/>
      <c r="C124" s="554"/>
      <c r="D124" s="555"/>
      <c r="E124" s="417">
        <f>SUM(E122:E123)</f>
        <v>80.53999999999999</v>
      </c>
    </row>
    <row r="125" spans="1:5" ht="15">
      <c r="A125" s="339"/>
      <c r="B125" s="339"/>
      <c r="C125" s="339"/>
      <c r="D125" s="339"/>
      <c r="E125" s="419"/>
    </row>
    <row r="126" spans="1:5" ht="15.75">
      <c r="A126" s="264"/>
      <c r="B126" s="266"/>
      <c r="C126" s="266"/>
      <c r="D126" s="266"/>
      <c r="E126" s="345"/>
    </row>
    <row r="127" spans="1:5" ht="15">
      <c r="A127" s="584" t="s">
        <v>956</v>
      </c>
      <c r="B127" s="585"/>
      <c r="C127" s="585"/>
      <c r="D127" s="586"/>
      <c r="E127" s="295" t="s">
        <v>282</v>
      </c>
    </row>
    <row r="128" spans="1:5" ht="15">
      <c r="A128" s="289" t="s">
        <v>273</v>
      </c>
      <c r="B128" s="576" t="s">
        <v>291</v>
      </c>
      <c r="C128" s="569"/>
      <c r="D128" s="570"/>
      <c r="E128" s="437">
        <v>80.96</v>
      </c>
    </row>
    <row r="129" spans="1:5" ht="15">
      <c r="A129" s="427" t="s">
        <v>275</v>
      </c>
      <c r="B129" s="577" t="s">
        <v>97</v>
      </c>
      <c r="C129" s="578"/>
      <c r="D129" s="579"/>
      <c r="E129" s="437">
        <f>'A1) Ferramentas'!G55</f>
        <v>65.51871562500001</v>
      </c>
    </row>
    <row r="130" spans="1:5" ht="15">
      <c r="A130" s="427" t="s">
        <v>277</v>
      </c>
      <c r="B130" s="577" t="s">
        <v>972</v>
      </c>
      <c r="C130" s="578"/>
      <c r="D130" s="579"/>
      <c r="E130" s="437">
        <f>'A1) Ferramentas'!G91</f>
        <v>197.10250000000002</v>
      </c>
    </row>
    <row r="131" spans="1:5" ht="15">
      <c r="A131" s="289" t="s">
        <v>286</v>
      </c>
      <c r="B131" s="576" t="s">
        <v>283</v>
      </c>
      <c r="C131" s="569"/>
      <c r="D131" s="570"/>
      <c r="E131" s="294"/>
    </row>
    <row r="132" spans="1:5" ht="15">
      <c r="A132" s="556" t="s">
        <v>957</v>
      </c>
      <c r="B132" s="557"/>
      <c r="C132" s="557"/>
      <c r="D132" s="558"/>
      <c r="E132" s="270">
        <f>SUM(E128:E131)</f>
        <v>343.581215625</v>
      </c>
    </row>
    <row r="133" spans="1:5" ht="15">
      <c r="A133" s="315"/>
      <c r="B133" s="286"/>
      <c r="C133" s="283"/>
      <c r="D133" s="316"/>
      <c r="E133" s="429"/>
    </row>
    <row r="134" spans="1:5" ht="15">
      <c r="A134" s="575" t="s">
        <v>958</v>
      </c>
      <c r="B134" s="575"/>
      <c r="C134" s="575"/>
      <c r="D134" s="278" t="s">
        <v>281</v>
      </c>
      <c r="E134" s="295" t="s">
        <v>282</v>
      </c>
    </row>
    <row r="135" spans="1:5" ht="15">
      <c r="A135" s="333" t="s">
        <v>273</v>
      </c>
      <c r="B135" s="334" t="s">
        <v>649</v>
      </c>
      <c r="C135" s="335"/>
      <c r="D135" s="439">
        <f>'A2) BDI'!D8</f>
        <v>0.09117690499999997</v>
      </c>
      <c r="E135" s="270">
        <f>ROUND(((E26+E68+E84+E124+E132)*D135),2)</f>
        <v>372.21</v>
      </c>
    </row>
    <row r="136" spans="1:5" ht="15">
      <c r="A136" s="559" t="s">
        <v>998</v>
      </c>
      <c r="B136" s="560"/>
      <c r="C136" s="560"/>
      <c r="D136" s="560"/>
      <c r="E136" s="561"/>
    </row>
    <row r="137" spans="1:5" ht="15">
      <c r="A137" s="333" t="s">
        <v>275</v>
      </c>
      <c r="B137" s="334" t="s">
        <v>321</v>
      </c>
      <c r="C137" s="335"/>
      <c r="D137" s="439">
        <f>'A2) BDI'!D13</f>
        <v>0.0825</v>
      </c>
      <c r="E137" s="270">
        <f>ROUND(((E26+E68+E84+E124+E132+E135)*D137),2)</f>
        <v>367.49</v>
      </c>
    </row>
    <row r="138" spans="1:5" ht="15">
      <c r="A138" s="559" t="s">
        <v>959</v>
      </c>
      <c r="B138" s="560"/>
      <c r="C138" s="560"/>
      <c r="D138" s="560"/>
      <c r="E138" s="561"/>
    </row>
    <row r="139" spans="1:5" ht="15">
      <c r="A139" s="333" t="s">
        <v>277</v>
      </c>
      <c r="B139" s="334" t="s">
        <v>316</v>
      </c>
      <c r="C139" s="335"/>
      <c r="D139" s="263"/>
      <c r="E139" s="317"/>
    </row>
    <row r="140" spans="1:5" ht="15">
      <c r="A140" s="333"/>
      <c r="B140" s="334" t="s">
        <v>86</v>
      </c>
      <c r="C140" s="335"/>
      <c r="D140" s="337">
        <f>(1-(D142+D144+D146+D143))/100</f>
        <v>0.009134999999999999</v>
      </c>
      <c r="E140" s="270">
        <f>ROUND((E26+E68+E84+E124+E132+E135+E137)/D140/100,2)</f>
        <v>5278.55</v>
      </c>
    </row>
    <row r="141" spans="1:5" ht="15">
      <c r="A141" s="338" t="s">
        <v>87</v>
      </c>
      <c r="B141" s="279" t="s">
        <v>88</v>
      </c>
      <c r="C141" s="280"/>
      <c r="D141" s="257"/>
      <c r="E141" s="257"/>
    </row>
    <row r="142" spans="1:5" ht="17.25" customHeight="1">
      <c r="A142" s="338"/>
      <c r="B142" s="279" t="s">
        <v>317</v>
      </c>
      <c r="C142" s="280"/>
      <c r="D142" s="440">
        <f>'A2) BDI'!D14</f>
        <v>0.0065</v>
      </c>
      <c r="E142" s="270">
        <f>E140*D142</f>
        <v>34.310575</v>
      </c>
    </row>
    <row r="143" spans="1:5" ht="17.25" customHeight="1">
      <c r="A143" s="338"/>
      <c r="B143" s="279" t="s">
        <v>319</v>
      </c>
      <c r="C143" s="280"/>
      <c r="D143" s="440">
        <f>'A2) BDI'!D15</f>
        <v>0.03</v>
      </c>
      <c r="E143" s="270">
        <f>E140*D143</f>
        <v>158.3565</v>
      </c>
    </row>
    <row r="144" spans="1:5" ht="15">
      <c r="A144" s="338"/>
      <c r="B144" s="279" t="s">
        <v>23</v>
      </c>
      <c r="C144" s="280"/>
      <c r="D144" s="440">
        <f>'A2) BDI'!D17</f>
        <v>0</v>
      </c>
      <c r="E144" s="270">
        <f>E140*D144</f>
        <v>0</v>
      </c>
    </row>
    <row r="145" spans="1:5" ht="15">
      <c r="A145" s="338" t="s">
        <v>89</v>
      </c>
      <c r="B145" s="279" t="s">
        <v>90</v>
      </c>
      <c r="C145" s="280"/>
      <c r="D145" s="336"/>
      <c r="E145" s="258"/>
    </row>
    <row r="146" spans="1:5" ht="15">
      <c r="A146" s="338"/>
      <c r="B146" s="279" t="s">
        <v>320</v>
      </c>
      <c r="C146" s="280"/>
      <c r="D146" s="439">
        <f>'A2) BDI'!D16</f>
        <v>0.05</v>
      </c>
      <c r="E146" s="270">
        <f>E140*D146</f>
        <v>263.9275</v>
      </c>
    </row>
    <row r="147" spans="1:5" ht="15">
      <c r="A147" s="338"/>
      <c r="B147" s="279" t="s">
        <v>303</v>
      </c>
      <c r="C147" s="280"/>
      <c r="D147" s="336">
        <f>SUM(D142:D146)</f>
        <v>0.0865</v>
      </c>
      <c r="E147" s="270">
        <f>E135+E137+E142+E144+E146+E143</f>
        <v>1196.2945750000001</v>
      </c>
    </row>
    <row r="148" spans="1:5" ht="15">
      <c r="A148" s="310"/>
      <c r="B148" s="283"/>
      <c r="C148" s="264"/>
      <c r="D148" s="430"/>
      <c r="E148" s="285"/>
    </row>
    <row r="149" spans="1:5" ht="15">
      <c r="A149" s="339"/>
      <c r="B149" s="340"/>
      <c r="C149" s="340"/>
      <c r="D149" s="340"/>
      <c r="E149" s="429"/>
    </row>
    <row r="150" spans="1:5" ht="15">
      <c r="A150" s="575" t="s">
        <v>91</v>
      </c>
      <c r="B150" s="575"/>
      <c r="C150" s="575"/>
      <c r="D150" s="575"/>
      <c r="E150" s="287" t="s">
        <v>1000</v>
      </c>
    </row>
    <row r="151" spans="1:5" ht="15">
      <c r="A151" s="341" t="s">
        <v>273</v>
      </c>
      <c r="B151" s="559" t="s">
        <v>92</v>
      </c>
      <c r="C151" s="560"/>
      <c r="D151" s="561"/>
      <c r="E151" s="270">
        <f>E26</f>
        <v>1699.32</v>
      </c>
    </row>
    <row r="152" spans="1:5" ht="15">
      <c r="A152" s="341" t="s">
        <v>275</v>
      </c>
      <c r="B152" s="559" t="s">
        <v>960</v>
      </c>
      <c r="C152" s="560"/>
      <c r="D152" s="561"/>
      <c r="E152" s="270">
        <f>E68</f>
        <v>1839.4836</v>
      </c>
    </row>
    <row r="153" spans="1:5" ht="15">
      <c r="A153" s="341" t="s">
        <v>277</v>
      </c>
      <c r="B153" s="559" t="s">
        <v>961</v>
      </c>
      <c r="C153" s="560"/>
      <c r="D153" s="561"/>
      <c r="E153" s="270">
        <f>E84</f>
        <v>119.33</v>
      </c>
    </row>
    <row r="154" spans="1:5" ht="15">
      <c r="A154" s="341" t="s">
        <v>286</v>
      </c>
      <c r="B154" s="559" t="s">
        <v>962</v>
      </c>
      <c r="C154" s="560"/>
      <c r="D154" s="561"/>
      <c r="E154" s="270">
        <f>E124</f>
        <v>80.53999999999999</v>
      </c>
    </row>
    <row r="155" spans="1:5" ht="15">
      <c r="A155" s="341" t="s">
        <v>289</v>
      </c>
      <c r="B155" s="559" t="s">
        <v>963</v>
      </c>
      <c r="C155" s="560"/>
      <c r="D155" s="561"/>
      <c r="E155" s="270">
        <f>E132</f>
        <v>343.581215625</v>
      </c>
    </row>
    <row r="156" spans="1:5" ht="15">
      <c r="A156" s="559" t="s">
        <v>964</v>
      </c>
      <c r="B156" s="560"/>
      <c r="C156" s="560"/>
      <c r="D156" s="561"/>
      <c r="E156" s="270">
        <f>SUM(E151:E155)</f>
        <v>4082.254815625</v>
      </c>
    </row>
    <row r="157" spans="1:6" ht="15">
      <c r="A157" s="341" t="s">
        <v>290</v>
      </c>
      <c r="B157" s="559" t="s">
        <v>965</v>
      </c>
      <c r="C157" s="560"/>
      <c r="D157" s="561"/>
      <c r="E157" s="270">
        <f>E147</f>
        <v>1196.2945750000001</v>
      </c>
      <c r="F157" s="181">
        <f>E157/E156</f>
        <v>0.29304750169468424</v>
      </c>
    </row>
    <row r="158" spans="1:5" ht="15">
      <c r="A158" s="572" t="s">
        <v>93</v>
      </c>
      <c r="B158" s="573"/>
      <c r="C158" s="573"/>
      <c r="D158" s="574"/>
      <c r="E158" s="428">
        <f>E156+E157</f>
        <v>5278.549390625</v>
      </c>
    </row>
    <row r="159" spans="1:5" ht="15">
      <c r="A159" s="559" t="s">
        <v>94</v>
      </c>
      <c r="B159" s="560"/>
      <c r="C159" s="560"/>
      <c r="D159" s="561"/>
      <c r="E159" s="342">
        <f>E20</f>
        <v>3</v>
      </c>
    </row>
    <row r="160" spans="1:5" ht="15">
      <c r="A160" s="559" t="s">
        <v>95</v>
      </c>
      <c r="B160" s="560"/>
      <c r="C160" s="560"/>
      <c r="D160" s="561"/>
      <c r="E160" s="270">
        <f>ROUND(E159*E158,2)</f>
        <v>15835.65</v>
      </c>
    </row>
    <row r="161" spans="1:5" ht="15">
      <c r="A161" s="559" t="s">
        <v>966</v>
      </c>
      <c r="B161" s="560"/>
      <c r="C161" s="560"/>
      <c r="D161" s="561"/>
      <c r="E161" s="270">
        <f>ROUND((E160*12),2)</f>
        <v>190027.8</v>
      </c>
    </row>
    <row r="162" spans="1:5" ht="15">
      <c r="A162" s="256"/>
      <c r="B162" s="256"/>
      <c r="C162" s="256"/>
      <c r="D162" s="276"/>
      <c r="E162" s="429"/>
    </row>
    <row r="163" spans="1:5" ht="15">
      <c r="A163" s="256"/>
      <c r="B163" s="256"/>
      <c r="C163" s="256"/>
      <c r="D163" s="276"/>
      <c r="E163" s="429"/>
    </row>
    <row r="164" spans="1:5" ht="15">
      <c r="A164" s="562" t="s">
        <v>96</v>
      </c>
      <c r="B164" s="563"/>
      <c r="C164" s="563"/>
      <c r="D164" s="563"/>
      <c r="E164" s="564"/>
    </row>
    <row r="165" spans="1:5" ht="15">
      <c r="A165" s="565" t="s">
        <v>223</v>
      </c>
      <c r="B165" s="566"/>
      <c r="C165" s="566"/>
      <c r="D165" s="567"/>
      <c r="E165" s="301" t="s">
        <v>577</v>
      </c>
    </row>
    <row r="166" spans="1:5" ht="15">
      <c r="A166" s="568" t="s">
        <v>305</v>
      </c>
      <c r="B166" s="569"/>
      <c r="C166" s="569"/>
      <c r="D166" s="570"/>
      <c r="E166" s="270">
        <f>E32</f>
        <v>141.55</v>
      </c>
    </row>
    <row r="167" spans="1:5" ht="15">
      <c r="A167" s="543" t="s">
        <v>83</v>
      </c>
      <c r="B167" s="544"/>
      <c r="C167" s="544"/>
      <c r="D167" s="545"/>
      <c r="E167" s="431">
        <f>E34</f>
        <v>205.62</v>
      </c>
    </row>
    <row r="168" spans="1:5" ht="15">
      <c r="A168" s="546" t="s">
        <v>921</v>
      </c>
      <c r="B168" s="547"/>
      <c r="C168" s="547"/>
      <c r="D168" s="548"/>
      <c r="E168" s="422">
        <f>E77</f>
        <v>0</v>
      </c>
    </row>
    <row r="169" spans="1:5" ht="15">
      <c r="A169" s="549" t="s">
        <v>925</v>
      </c>
      <c r="B169" s="550"/>
      <c r="C169" s="550"/>
      <c r="D169" s="551"/>
      <c r="E169" s="343">
        <f>E82</f>
        <v>65.49</v>
      </c>
    </row>
    <row r="170" spans="1:5" ht="15">
      <c r="A170" s="552" t="s">
        <v>306</v>
      </c>
      <c r="B170" s="552"/>
      <c r="C170" s="552"/>
      <c r="D170" s="552"/>
      <c r="E170" s="344">
        <f>SUM(E166:E169)</f>
        <v>412.66</v>
      </c>
    </row>
    <row r="171" spans="1:5" ht="30" customHeight="1">
      <c r="A171" s="553" t="s">
        <v>967</v>
      </c>
      <c r="B171" s="554"/>
      <c r="C171" s="555"/>
      <c r="D171" s="432">
        <v>0.0782</v>
      </c>
      <c r="E171" s="257">
        <f>ROUND((E26*D171),2)</f>
        <v>132.89</v>
      </c>
    </row>
    <row r="172" spans="1:5" ht="15">
      <c r="A172" s="556" t="s">
        <v>194</v>
      </c>
      <c r="B172" s="557"/>
      <c r="C172" s="557"/>
      <c r="D172" s="558"/>
      <c r="E172" s="344">
        <f>SUM(E170:E171)</f>
        <v>545.55</v>
      </c>
    </row>
    <row r="173" spans="1:5" ht="15">
      <c r="A173" s="265"/>
      <c r="B173" s="265"/>
      <c r="C173" s="265"/>
      <c r="D173" s="265"/>
      <c r="E173" s="434"/>
    </row>
    <row r="174" spans="1:5" ht="15">
      <c r="A174" s="571" t="s">
        <v>1059</v>
      </c>
      <c r="B174" s="571"/>
      <c r="C174" s="264"/>
      <c r="D174" s="284"/>
      <c r="E174" s="277"/>
    </row>
    <row r="175" spans="1:5" ht="15">
      <c r="A175" s="542" t="s">
        <v>592</v>
      </c>
      <c r="B175" s="542"/>
      <c r="C175" s="256"/>
      <c r="D175" s="276"/>
      <c r="E175" s="277"/>
    </row>
    <row r="176" spans="1:5" ht="15.75">
      <c r="A176" s="542" t="s">
        <v>968</v>
      </c>
      <c r="B176" s="542"/>
      <c r="C176" s="256"/>
      <c r="D176" s="276"/>
      <c r="E176" s="345"/>
    </row>
  </sheetData>
  <sheetProtection/>
  <mergeCells count="120">
    <mergeCell ref="A4:E4"/>
    <mergeCell ref="A6:E6"/>
    <mergeCell ref="B7:D7"/>
    <mergeCell ref="B8:D8"/>
    <mergeCell ref="B9:D9"/>
    <mergeCell ref="B10:D10"/>
    <mergeCell ref="A13:E13"/>
    <mergeCell ref="B14:D14"/>
    <mergeCell ref="B17:D17"/>
    <mergeCell ref="B20:D20"/>
    <mergeCell ref="A22:C22"/>
    <mergeCell ref="A25:E25"/>
    <mergeCell ref="A29:C29"/>
    <mergeCell ref="A30:E30"/>
    <mergeCell ref="A33:E33"/>
    <mergeCell ref="A35:E35"/>
    <mergeCell ref="A36:D36"/>
    <mergeCell ref="A39:E39"/>
    <mergeCell ref="B40:C40"/>
    <mergeCell ref="B41:C41"/>
    <mergeCell ref="B42:C42"/>
    <mergeCell ref="B43:C43"/>
    <mergeCell ref="B44:C44"/>
    <mergeCell ref="B45:C45"/>
    <mergeCell ref="B46:C46"/>
    <mergeCell ref="B47:C47"/>
    <mergeCell ref="A48:C48"/>
    <mergeCell ref="A49:E49"/>
    <mergeCell ref="A52:E52"/>
    <mergeCell ref="A58:E58"/>
    <mergeCell ref="A60:C60"/>
    <mergeCell ref="A63:E63"/>
    <mergeCell ref="B64:D64"/>
    <mergeCell ref="B65:D65"/>
    <mergeCell ref="A66:D66"/>
    <mergeCell ref="B67:D67"/>
    <mergeCell ref="A68:D68"/>
    <mergeCell ref="A71:C71"/>
    <mergeCell ref="B72:C72"/>
    <mergeCell ref="A73:E73"/>
    <mergeCell ref="A74:E74"/>
    <mergeCell ref="B75:D75"/>
    <mergeCell ref="A76:E76"/>
    <mergeCell ref="B77:D77"/>
    <mergeCell ref="A78:E78"/>
    <mergeCell ref="B79:D79"/>
    <mergeCell ref="A80:E80"/>
    <mergeCell ref="B81:D81"/>
    <mergeCell ref="B82:D82"/>
    <mergeCell ref="A83:E83"/>
    <mergeCell ref="A84:D84"/>
    <mergeCell ref="A87:C87"/>
    <mergeCell ref="A88:E88"/>
    <mergeCell ref="A90:E90"/>
    <mergeCell ref="A91:A92"/>
    <mergeCell ref="B91:C92"/>
    <mergeCell ref="E91:E92"/>
    <mergeCell ref="A93:E93"/>
    <mergeCell ref="A94:E94"/>
    <mergeCell ref="A95:A96"/>
    <mergeCell ref="B95:B96"/>
    <mergeCell ref="E95:E96"/>
    <mergeCell ref="A97:E97"/>
    <mergeCell ref="A98:E98"/>
    <mergeCell ref="A99:A100"/>
    <mergeCell ref="B99:B100"/>
    <mergeCell ref="E99:E100"/>
    <mergeCell ref="A101:E101"/>
    <mergeCell ref="A102:E102"/>
    <mergeCell ref="B103:D103"/>
    <mergeCell ref="B105:D105"/>
    <mergeCell ref="A106:D106"/>
    <mergeCell ref="A109:E109"/>
    <mergeCell ref="A110:A111"/>
    <mergeCell ref="B110:B111"/>
    <mergeCell ref="A112:E112"/>
    <mergeCell ref="A113:E113"/>
    <mergeCell ref="B114:D114"/>
    <mergeCell ref="A115:E115"/>
    <mergeCell ref="B116:D116"/>
    <mergeCell ref="A117:E117"/>
    <mergeCell ref="A118:D118"/>
    <mergeCell ref="A121:E121"/>
    <mergeCell ref="B122:D122"/>
    <mergeCell ref="B123:D123"/>
    <mergeCell ref="A124:D124"/>
    <mergeCell ref="A127:D127"/>
    <mergeCell ref="B128:D128"/>
    <mergeCell ref="B129:D129"/>
    <mergeCell ref="B130:D130"/>
    <mergeCell ref="B131:D131"/>
    <mergeCell ref="A132:D132"/>
    <mergeCell ref="A134:C134"/>
    <mergeCell ref="A159:D159"/>
    <mergeCell ref="A136:E136"/>
    <mergeCell ref="A138:E138"/>
    <mergeCell ref="A150:D150"/>
    <mergeCell ref="B151:D151"/>
    <mergeCell ref="B152:D152"/>
    <mergeCell ref="B153:D153"/>
    <mergeCell ref="A161:D161"/>
    <mergeCell ref="A164:E164"/>
    <mergeCell ref="A165:D165"/>
    <mergeCell ref="A166:D166"/>
    <mergeCell ref="A174:B174"/>
    <mergeCell ref="B154:D154"/>
    <mergeCell ref="B155:D155"/>
    <mergeCell ref="A156:D156"/>
    <mergeCell ref="B157:D157"/>
    <mergeCell ref="A158:D158"/>
    <mergeCell ref="A175:B175"/>
    <mergeCell ref="A176:B176"/>
    <mergeCell ref="E14:E15"/>
    <mergeCell ref="A167:D167"/>
    <mergeCell ref="A168:D168"/>
    <mergeCell ref="A169:D169"/>
    <mergeCell ref="A170:D170"/>
    <mergeCell ref="A171:C171"/>
    <mergeCell ref="A172:D172"/>
    <mergeCell ref="A160:D160"/>
  </mergeCells>
  <printOptions/>
  <pageMargins left="0.7874015748031497" right="0.7874015748031497" top="0.984251968503937" bottom="0.984251968503937" header="0.7086614173228347" footer="0.5118110236220472"/>
  <pageSetup orientation="landscape" paperSize="9" scale="93" r:id="rId1"/>
  <rowBreaks count="6" manualBreakCount="6">
    <brk id="26" max="255" man="1"/>
    <brk id="49" max="255" man="1"/>
    <brk id="69" max="255" man="1"/>
    <brk id="85" max="255" man="1"/>
    <brk id="132" max="255" man="1"/>
    <brk id="1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71"/>
  <sheetViews>
    <sheetView view="pageBreakPreview" zoomScaleSheetLayoutView="100" zoomScalePageLayoutView="0" workbookViewId="0" topLeftCell="A49">
      <selection activeCell="I59" sqref="I59"/>
    </sheetView>
  </sheetViews>
  <sheetFormatPr defaultColWidth="9.140625" defaultRowHeight="12.75"/>
  <cols>
    <col min="1" max="1" width="4.8515625" style="0" customWidth="1"/>
    <col min="2" max="2" width="59.28125" style="0" customWidth="1"/>
    <col min="3" max="3" width="26.57421875" style="0" customWidth="1"/>
    <col min="4" max="4" width="21.421875" style="0" customWidth="1"/>
    <col min="5" max="5" width="14.421875" style="0" customWidth="1"/>
    <col min="6" max="6" width="18.57421875" style="0" customWidth="1"/>
  </cols>
  <sheetData>
    <row r="1" spans="1:6" ht="15.75">
      <c r="A1" s="256" t="s">
        <v>65</v>
      </c>
      <c r="B1" s="256"/>
      <c r="C1" s="256"/>
      <c r="D1" s="256"/>
      <c r="E1" s="256"/>
      <c r="F1" s="345"/>
    </row>
    <row r="2" spans="1:6" ht="15.75">
      <c r="A2" s="256" t="s">
        <v>66</v>
      </c>
      <c r="B2" s="256"/>
      <c r="C2" s="256"/>
      <c r="D2" s="256"/>
      <c r="E2" s="256"/>
      <c r="F2" s="345"/>
    </row>
    <row r="3" spans="1:6" ht="15.75">
      <c r="A3" s="256" t="s">
        <v>970</v>
      </c>
      <c r="B3" s="256"/>
      <c r="C3" s="256"/>
      <c r="D3" s="256"/>
      <c r="E3" s="256"/>
      <c r="F3" s="345"/>
    </row>
    <row r="4" spans="1:6" ht="15.75">
      <c r="A4" s="672" t="s">
        <v>1063</v>
      </c>
      <c r="B4" s="672"/>
      <c r="C4" s="672"/>
      <c r="D4" s="672"/>
      <c r="E4" s="672"/>
      <c r="F4" s="345"/>
    </row>
    <row r="5" spans="1:6" ht="15.75">
      <c r="A5" s="562" t="s">
        <v>67</v>
      </c>
      <c r="B5" s="563"/>
      <c r="C5" s="563"/>
      <c r="D5" s="563"/>
      <c r="E5" s="564"/>
      <c r="F5" s="345"/>
    </row>
    <row r="6" spans="1:6" ht="15.75">
      <c r="A6" s="261" t="s">
        <v>273</v>
      </c>
      <c r="B6" s="556" t="s">
        <v>274</v>
      </c>
      <c r="C6" s="557"/>
      <c r="D6" s="557"/>
      <c r="E6" s="262"/>
      <c r="F6" s="345"/>
    </row>
    <row r="7" spans="1:6" ht="15.75">
      <c r="A7" s="261" t="s">
        <v>275</v>
      </c>
      <c r="B7" s="556" t="s">
        <v>276</v>
      </c>
      <c r="C7" s="557"/>
      <c r="D7" s="557"/>
      <c r="E7" s="405" t="s">
        <v>969</v>
      </c>
      <c r="F7" s="345"/>
    </row>
    <row r="8" spans="1:6" ht="15.75">
      <c r="A8" s="261" t="s">
        <v>277</v>
      </c>
      <c r="B8" s="553" t="s">
        <v>895</v>
      </c>
      <c r="C8" s="554"/>
      <c r="D8" s="554"/>
      <c r="E8" s="263">
        <v>2022</v>
      </c>
      <c r="F8" s="345"/>
    </row>
    <row r="9" spans="1:6" ht="15.75">
      <c r="A9" s="261" t="s">
        <v>286</v>
      </c>
      <c r="B9" s="556" t="s">
        <v>278</v>
      </c>
      <c r="C9" s="557"/>
      <c r="D9" s="557"/>
      <c r="E9" s="263">
        <v>12</v>
      </c>
      <c r="F9" s="345"/>
    </row>
    <row r="10" spans="1:6" ht="15.75">
      <c r="A10" s="289"/>
      <c r="B10" s="400"/>
      <c r="C10" s="400"/>
      <c r="D10" s="400"/>
      <c r="E10" s="403"/>
      <c r="F10" s="345"/>
    </row>
    <row r="11" spans="1:6" ht="15.75">
      <c r="A11" s="624" t="s">
        <v>896</v>
      </c>
      <c r="B11" s="625"/>
      <c r="C11" s="625"/>
      <c r="D11" s="625"/>
      <c r="E11" s="626"/>
      <c r="F11" s="345"/>
    </row>
    <row r="12" spans="1:6" ht="26.25">
      <c r="A12" s="407" t="s">
        <v>273</v>
      </c>
      <c r="B12" s="666" t="s">
        <v>68</v>
      </c>
      <c r="C12" s="667"/>
      <c r="D12" s="668"/>
      <c r="E12" s="436" t="s">
        <v>704</v>
      </c>
      <c r="F12" s="345"/>
    </row>
    <row r="13" spans="1:6" ht="39">
      <c r="A13" s="261" t="s">
        <v>275</v>
      </c>
      <c r="B13" s="271" t="s">
        <v>72</v>
      </c>
      <c r="C13" s="272"/>
      <c r="D13" s="273"/>
      <c r="E13" s="436" t="s">
        <v>721</v>
      </c>
      <c r="F13" s="345"/>
    </row>
    <row r="14" spans="1:6" ht="15.75">
      <c r="A14" s="261" t="s">
        <v>277</v>
      </c>
      <c r="B14" s="408" t="s">
        <v>897</v>
      </c>
      <c r="C14" s="409"/>
      <c r="D14" s="410"/>
      <c r="E14" s="435" t="s">
        <v>975</v>
      </c>
      <c r="F14" s="345"/>
    </row>
    <row r="15" spans="1:6" ht="30">
      <c r="A15" s="261" t="s">
        <v>286</v>
      </c>
      <c r="B15" s="556" t="s">
        <v>279</v>
      </c>
      <c r="C15" s="557"/>
      <c r="D15" s="558"/>
      <c r="E15" s="317" t="s">
        <v>70</v>
      </c>
      <c r="F15" s="345"/>
    </row>
    <row r="16" spans="1:6" ht="15.75">
      <c r="A16" s="411" t="s">
        <v>289</v>
      </c>
      <c r="B16" s="267" t="s">
        <v>71</v>
      </c>
      <c r="C16" s="268"/>
      <c r="D16" s="269"/>
      <c r="E16" s="433">
        <v>2109.65</v>
      </c>
      <c r="F16" s="345"/>
    </row>
    <row r="17" spans="1:6" ht="15.75">
      <c r="A17" s="261" t="s">
        <v>290</v>
      </c>
      <c r="B17" s="271" t="s">
        <v>280</v>
      </c>
      <c r="C17" s="272"/>
      <c r="D17" s="273"/>
      <c r="E17" s="275" t="s">
        <v>898</v>
      </c>
      <c r="F17" s="345"/>
    </row>
    <row r="18" spans="1:6" ht="15.75">
      <c r="A18" s="261" t="s">
        <v>296</v>
      </c>
      <c r="B18" s="556" t="s">
        <v>73</v>
      </c>
      <c r="C18" s="557"/>
      <c r="D18" s="558"/>
      <c r="E18" s="263">
        <v>2</v>
      </c>
      <c r="F18" s="345"/>
    </row>
    <row r="19" spans="1:6" ht="15.75">
      <c r="A19" s="264"/>
      <c r="B19" s="265"/>
      <c r="C19" s="265"/>
      <c r="D19" s="265"/>
      <c r="E19" s="266"/>
      <c r="F19" s="345"/>
    </row>
    <row r="20" spans="1:6" ht="35.25" customHeight="1">
      <c r="A20" s="669" t="s">
        <v>74</v>
      </c>
      <c r="B20" s="670"/>
      <c r="C20" s="671"/>
      <c r="D20" s="425" t="s">
        <v>76</v>
      </c>
      <c r="E20" s="412" t="s">
        <v>282</v>
      </c>
      <c r="F20" s="345"/>
    </row>
    <row r="21" spans="1:6" ht="15.75">
      <c r="A21" s="261" t="s">
        <v>273</v>
      </c>
      <c r="B21" s="279" t="s">
        <v>899</v>
      </c>
      <c r="C21" s="280"/>
      <c r="D21" s="281"/>
      <c r="E21" s="270">
        <v>2109.65</v>
      </c>
      <c r="F21" s="345"/>
    </row>
    <row r="22" spans="1:6" ht="15.75">
      <c r="A22" s="261" t="s">
        <v>275</v>
      </c>
      <c r="B22" s="279" t="s">
        <v>75</v>
      </c>
      <c r="C22" s="280"/>
      <c r="D22" s="282">
        <v>0.3</v>
      </c>
      <c r="E22" s="270">
        <f>ROUND((E21*D22),2)</f>
        <v>632.9</v>
      </c>
      <c r="F22" s="345"/>
    </row>
    <row r="23" spans="1:6" ht="15.75">
      <c r="A23" s="654" t="s">
        <v>900</v>
      </c>
      <c r="B23" s="655"/>
      <c r="C23" s="655"/>
      <c r="D23" s="655"/>
      <c r="E23" s="656"/>
      <c r="F23" s="345"/>
    </row>
    <row r="24" spans="1:6" ht="15.75">
      <c r="A24" s="261" t="s">
        <v>277</v>
      </c>
      <c r="B24" s="271" t="s">
        <v>901</v>
      </c>
      <c r="C24" s="272"/>
      <c r="D24" s="281"/>
      <c r="E24" s="270">
        <f>E21+E22</f>
        <v>2742.55</v>
      </c>
      <c r="F24" s="345"/>
    </row>
    <row r="25" spans="1:6" ht="15.75">
      <c r="A25" s="264"/>
      <c r="B25" s="283"/>
      <c r="C25" s="264"/>
      <c r="D25" s="284"/>
      <c r="E25" s="285"/>
      <c r="F25" s="345"/>
    </row>
    <row r="26" spans="1:6" ht="35.25" customHeight="1">
      <c r="A26" s="663" t="s">
        <v>902</v>
      </c>
      <c r="B26" s="664"/>
      <c r="C26" s="665"/>
      <c r="D26" s="413" t="s">
        <v>76</v>
      </c>
      <c r="E26" s="412" t="s">
        <v>282</v>
      </c>
      <c r="F26" s="345"/>
    </row>
    <row r="27" spans="1:6" ht="15.75">
      <c r="A27" s="562" t="s">
        <v>903</v>
      </c>
      <c r="B27" s="563"/>
      <c r="C27" s="563"/>
      <c r="D27" s="563"/>
      <c r="E27" s="564"/>
      <c r="F27" s="345"/>
    </row>
    <row r="28" spans="1:6" ht="15.75">
      <c r="A28" s="414" t="s">
        <v>561</v>
      </c>
      <c r="B28" s="297" t="s">
        <v>904</v>
      </c>
      <c r="C28" s="299"/>
      <c r="D28" s="300" t="s">
        <v>281</v>
      </c>
      <c r="E28" s="301" t="s">
        <v>577</v>
      </c>
      <c r="F28" s="345"/>
    </row>
    <row r="29" spans="1:6" ht="15.75">
      <c r="A29" s="302" t="s">
        <v>273</v>
      </c>
      <c r="B29" s="303" t="s">
        <v>305</v>
      </c>
      <c r="C29" s="304"/>
      <c r="D29" s="305">
        <v>0.0833</v>
      </c>
      <c r="E29" s="270">
        <f>ROUND((E24*D29),2)</f>
        <v>228.45</v>
      </c>
      <c r="F29" s="345"/>
    </row>
    <row r="30" spans="1:6" ht="15.75">
      <c r="A30" s="654" t="s">
        <v>82</v>
      </c>
      <c r="B30" s="655"/>
      <c r="C30" s="655"/>
      <c r="D30" s="655"/>
      <c r="E30" s="656"/>
      <c r="F30" s="345"/>
    </row>
    <row r="31" spans="1:6" ht="15.75">
      <c r="A31" s="307" t="s">
        <v>275</v>
      </c>
      <c r="B31" s="308" t="s">
        <v>905</v>
      </c>
      <c r="C31" s="309"/>
      <c r="D31" s="415">
        <v>0.121</v>
      </c>
      <c r="E31" s="292">
        <f>ROUND((E24*D31),2)</f>
        <v>331.85</v>
      </c>
      <c r="F31" s="345"/>
    </row>
    <row r="32" spans="1:6" ht="15.75">
      <c r="A32" s="590" t="s">
        <v>906</v>
      </c>
      <c r="B32" s="591"/>
      <c r="C32" s="591"/>
      <c r="D32" s="591"/>
      <c r="E32" s="592"/>
      <c r="F32" s="345"/>
    </row>
    <row r="33" spans="1:6" ht="15.75">
      <c r="A33" s="662" t="s">
        <v>907</v>
      </c>
      <c r="B33" s="662"/>
      <c r="C33" s="662"/>
      <c r="D33" s="662"/>
      <c r="E33" s="270">
        <f>ROUND((E29+E31),2)</f>
        <v>560.3</v>
      </c>
      <c r="F33" s="345"/>
    </row>
    <row r="34" spans="1:6" ht="15.75">
      <c r="A34" s="306"/>
      <c r="B34" s="306"/>
      <c r="C34" s="306"/>
      <c r="D34" s="306"/>
      <c r="E34" s="285"/>
      <c r="F34" s="345"/>
    </row>
    <row r="35" spans="1:6" ht="15.75">
      <c r="A35" s="306"/>
      <c r="B35" s="306"/>
      <c r="C35" s="306"/>
      <c r="D35" s="306"/>
      <c r="E35" s="285"/>
      <c r="F35" s="345"/>
    </row>
    <row r="36" spans="1:6" ht="15.75">
      <c r="A36" s="660" t="s">
        <v>908</v>
      </c>
      <c r="B36" s="660"/>
      <c r="C36" s="660"/>
      <c r="D36" s="660"/>
      <c r="E36" s="660"/>
      <c r="F36" s="345"/>
    </row>
    <row r="37" spans="1:6" ht="15.75">
      <c r="A37" s="261" t="s">
        <v>273</v>
      </c>
      <c r="B37" s="552" t="s">
        <v>318</v>
      </c>
      <c r="C37" s="552"/>
      <c r="D37" s="447">
        <v>0.2</v>
      </c>
      <c r="E37" s="270">
        <f aca="true" t="shared" si="0" ref="E37:E45">ROUND((($E$24+$E$33)*D37),2)</f>
        <v>660.57</v>
      </c>
      <c r="F37" s="345"/>
    </row>
    <row r="38" spans="1:6" ht="15.75">
      <c r="A38" s="261" t="s">
        <v>275</v>
      </c>
      <c r="B38" s="552" t="s">
        <v>79</v>
      </c>
      <c r="C38" s="552"/>
      <c r="D38" s="416">
        <v>0.015</v>
      </c>
      <c r="E38" s="270">
        <f t="shared" si="0"/>
        <v>49.54</v>
      </c>
      <c r="F38" s="345"/>
    </row>
    <row r="39" spans="1:6" ht="15.75">
      <c r="A39" s="261" t="s">
        <v>277</v>
      </c>
      <c r="B39" s="552" t="s">
        <v>80</v>
      </c>
      <c r="C39" s="552"/>
      <c r="D39" s="416">
        <v>0.01</v>
      </c>
      <c r="E39" s="270">
        <f t="shared" si="0"/>
        <v>33.03</v>
      </c>
      <c r="F39" s="345"/>
    </row>
    <row r="40" spans="1:6" ht="15.75">
      <c r="A40" s="261" t="s">
        <v>286</v>
      </c>
      <c r="B40" s="552" t="s">
        <v>293</v>
      </c>
      <c r="C40" s="552"/>
      <c r="D40" s="416">
        <v>0.002</v>
      </c>
      <c r="E40" s="270">
        <f t="shared" si="0"/>
        <v>6.61</v>
      </c>
      <c r="F40" s="345"/>
    </row>
    <row r="41" spans="1:6" ht="15.75">
      <c r="A41" s="261" t="s">
        <v>289</v>
      </c>
      <c r="B41" s="552" t="s">
        <v>294</v>
      </c>
      <c r="C41" s="552"/>
      <c r="D41" s="416">
        <v>0.025</v>
      </c>
      <c r="E41" s="270">
        <f t="shared" si="0"/>
        <v>82.57</v>
      </c>
      <c r="F41" s="345"/>
    </row>
    <row r="42" spans="1:6" ht="15.75">
      <c r="A42" s="296" t="s">
        <v>290</v>
      </c>
      <c r="B42" s="552" t="s">
        <v>295</v>
      </c>
      <c r="C42" s="552"/>
      <c r="D42" s="416">
        <v>0.08</v>
      </c>
      <c r="E42" s="270">
        <f t="shared" si="0"/>
        <v>264.23</v>
      </c>
      <c r="F42" s="345"/>
    </row>
    <row r="43" spans="1:6" ht="15.75">
      <c r="A43" s="296" t="s">
        <v>296</v>
      </c>
      <c r="B43" s="659" t="s">
        <v>81</v>
      </c>
      <c r="C43" s="659"/>
      <c r="D43" s="416">
        <v>0.06</v>
      </c>
      <c r="E43" s="270">
        <f t="shared" si="0"/>
        <v>198.17</v>
      </c>
      <c r="F43" s="345"/>
    </row>
    <row r="44" spans="1:6" ht="15.75">
      <c r="A44" s="296" t="s">
        <v>297</v>
      </c>
      <c r="B44" s="552" t="s">
        <v>298</v>
      </c>
      <c r="C44" s="552"/>
      <c r="D44" s="259">
        <v>0.006</v>
      </c>
      <c r="E44" s="270">
        <f t="shared" si="0"/>
        <v>19.82</v>
      </c>
      <c r="F44" s="345"/>
    </row>
    <row r="45" spans="1:6" ht="15.75">
      <c r="A45" s="659" t="s">
        <v>909</v>
      </c>
      <c r="B45" s="659"/>
      <c r="C45" s="659"/>
      <c r="D45" s="259">
        <f>SUM(D37:D44)</f>
        <v>0.3980000000000001</v>
      </c>
      <c r="E45" s="270">
        <f t="shared" si="0"/>
        <v>1314.53</v>
      </c>
      <c r="F45" s="345"/>
    </row>
    <row r="46" spans="1:6" ht="15.75">
      <c r="A46" s="659" t="s">
        <v>910</v>
      </c>
      <c r="B46" s="659"/>
      <c r="C46" s="659"/>
      <c r="D46" s="659"/>
      <c r="E46" s="659"/>
      <c r="F46" s="345"/>
    </row>
    <row r="47" spans="1:6" ht="15.75">
      <c r="A47" s="346"/>
      <c r="B47" s="346"/>
      <c r="C47" s="346"/>
      <c r="D47" s="346"/>
      <c r="E47" s="346"/>
      <c r="F47" s="345"/>
    </row>
    <row r="48" spans="1:6" ht="15.75">
      <c r="A48" s="346"/>
      <c r="B48" s="346"/>
      <c r="C48" s="346"/>
      <c r="D48" s="347"/>
      <c r="E48" s="285"/>
      <c r="F48" s="345"/>
    </row>
    <row r="49" spans="1:5" ht="15">
      <c r="A49" s="660" t="s">
        <v>911</v>
      </c>
      <c r="B49" s="660"/>
      <c r="C49" s="660"/>
      <c r="D49" s="660"/>
      <c r="E49" s="660"/>
    </row>
    <row r="50" spans="1:5" ht="15">
      <c r="A50" s="279" t="s">
        <v>273</v>
      </c>
      <c r="B50" s="279" t="s">
        <v>284</v>
      </c>
      <c r="C50" s="288">
        <v>0.06</v>
      </c>
      <c r="D50" s="270">
        <f>'B1) ELETRICISTA'!D53</f>
        <v>3.9</v>
      </c>
      <c r="E50" s="270">
        <f>IF(ROUND((D50*2*21-C50*E21),2)&lt;0,0,ROUND((D50*2*21-C50*E21),2))</f>
        <v>37.22</v>
      </c>
    </row>
    <row r="51" spans="1:5" ht="15">
      <c r="A51" s="289" t="s">
        <v>275</v>
      </c>
      <c r="B51" s="290" t="s">
        <v>285</v>
      </c>
      <c r="C51" s="291">
        <v>0.01</v>
      </c>
      <c r="D51" s="270">
        <f>'B1) ELETRICISTA'!D54</f>
        <v>23.11</v>
      </c>
      <c r="E51" s="270">
        <f>ROUND(D51*21-C51*D51*21,2)</f>
        <v>480.46</v>
      </c>
    </row>
    <row r="52" spans="1:5" ht="15">
      <c r="A52" s="289" t="s">
        <v>277</v>
      </c>
      <c r="B52" s="257" t="s">
        <v>78</v>
      </c>
      <c r="C52" s="291">
        <v>0.5</v>
      </c>
      <c r="D52" s="270">
        <f>'B1) ELETRICISTA'!D55</f>
        <v>81.99</v>
      </c>
      <c r="E52" s="270">
        <f>ROUND((D52*C52),2)</f>
        <v>41</v>
      </c>
    </row>
    <row r="53" spans="1:5" s="5" customFormat="1" ht="15">
      <c r="A53" s="289" t="s">
        <v>286</v>
      </c>
      <c r="B53" s="279" t="s">
        <v>77</v>
      </c>
      <c r="C53" s="261"/>
      <c r="D53" s="270"/>
      <c r="E53" s="293">
        <f>'B1) ELETRICISTA'!E56</f>
        <v>88.04</v>
      </c>
    </row>
    <row r="54" spans="1:5" ht="15">
      <c r="A54" s="289" t="s">
        <v>289</v>
      </c>
      <c r="B54" s="279" t="s">
        <v>287</v>
      </c>
      <c r="C54" s="291">
        <v>0.02</v>
      </c>
      <c r="D54" s="270">
        <v>222.36</v>
      </c>
      <c r="E54" s="293">
        <f>D54*6/12*C54</f>
        <v>2.2236000000000002</v>
      </c>
    </row>
    <row r="55" spans="1:5" ht="16.5" customHeight="1">
      <c r="A55" s="661" t="s">
        <v>971</v>
      </c>
      <c r="B55" s="603"/>
      <c r="C55" s="603"/>
      <c r="D55" s="603"/>
      <c r="E55" s="604"/>
    </row>
    <row r="56" spans="1:5" ht="15">
      <c r="A56" s="289" t="s">
        <v>290</v>
      </c>
      <c r="B56" s="279" t="s">
        <v>1058</v>
      </c>
      <c r="C56" s="468">
        <v>0.01</v>
      </c>
      <c r="D56" s="281"/>
      <c r="E56" s="294">
        <f>ROUND(((3*E21*C56)/12),2)</f>
        <v>5.27</v>
      </c>
    </row>
    <row r="57" spans="1:5" ht="15">
      <c r="A57" s="659" t="s">
        <v>912</v>
      </c>
      <c r="B57" s="659"/>
      <c r="C57" s="659"/>
      <c r="D57" s="281"/>
      <c r="E57" s="270">
        <f>SUM(E50:E56)</f>
        <v>654.2135999999999</v>
      </c>
    </row>
    <row r="58" spans="1:5" ht="15">
      <c r="A58" s="346"/>
      <c r="B58" s="346"/>
      <c r="C58" s="346"/>
      <c r="D58" s="284"/>
      <c r="E58" s="285"/>
    </row>
    <row r="59" spans="1:5" ht="15">
      <c r="A59" s="346"/>
      <c r="B59" s="346"/>
      <c r="C59" s="346"/>
      <c r="D59" s="284"/>
      <c r="E59" s="285"/>
    </row>
    <row r="60" spans="1:5" ht="15">
      <c r="A60" s="583" t="s">
        <v>913</v>
      </c>
      <c r="B60" s="583"/>
      <c r="C60" s="583"/>
      <c r="D60" s="583"/>
      <c r="E60" s="583"/>
    </row>
    <row r="61" spans="1:5" ht="15">
      <c r="A61" s="404" t="s">
        <v>561</v>
      </c>
      <c r="B61" s="576" t="s">
        <v>904</v>
      </c>
      <c r="C61" s="569"/>
      <c r="D61" s="570"/>
      <c r="E61" s="417">
        <f>E33</f>
        <v>560.3</v>
      </c>
    </row>
    <row r="62" spans="1:5" ht="15">
      <c r="A62" s="404" t="s">
        <v>562</v>
      </c>
      <c r="B62" s="576" t="s">
        <v>914</v>
      </c>
      <c r="C62" s="569"/>
      <c r="D62" s="570"/>
      <c r="E62" s="418">
        <f>E45</f>
        <v>1314.53</v>
      </c>
    </row>
    <row r="63" spans="1:5" ht="15">
      <c r="A63" s="553" t="s">
        <v>915</v>
      </c>
      <c r="B63" s="554"/>
      <c r="C63" s="554"/>
      <c r="D63" s="555"/>
      <c r="E63" s="418"/>
    </row>
    <row r="64" spans="1:5" ht="15">
      <c r="A64" s="404" t="s">
        <v>563</v>
      </c>
      <c r="B64" s="553" t="s">
        <v>916</v>
      </c>
      <c r="C64" s="554"/>
      <c r="D64" s="555"/>
      <c r="E64" s="417">
        <f>E57</f>
        <v>654.2135999999999</v>
      </c>
    </row>
    <row r="65" spans="1:5" ht="15">
      <c r="A65" s="553" t="s">
        <v>917</v>
      </c>
      <c r="B65" s="554"/>
      <c r="C65" s="554"/>
      <c r="D65" s="555"/>
      <c r="E65" s="417">
        <f>SUM(E61:E64)</f>
        <v>2529.0436</v>
      </c>
    </row>
    <row r="66" spans="1:5" ht="15">
      <c r="A66" s="339"/>
      <c r="B66" s="339"/>
      <c r="C66" s="339"/>
      <c r="D66" s="339"/>
      <c r="E66" s="419"/>
    </row>
    <row r="67" spans="1:5" ht="15">
      <c r="A67" s="339"/>
      <c r="B67" s="339"/>
      <c r="C67" s="339"/>
      <c r="D67" s="339"/>
      <c r="E67" s="419"/>
    </row>
    <row r="68" spans="1:5" ht="35.25" customHeight="1">
      <c r="A68" s="624" t="s">
        <v>918</v>
      </c>
      <c r="B68" s="625"/>
      <c r="C68" s="626"/>
      <c r="D68" s="406" t="s">
        <v>76</v>
      </c>
      <c r="E68" s="420" t="s">
        <v>282</v>
      </c>
    </row>
    <row r="69" spans="1:5" ht="15">
      <c r="A69" s="401" t="s">
        <v>273</v>
      </c>
      <c r="B69" s="657" t="s">
        <v>309</v>
      </c>
      <c r="C69" s="658"/>
      <c r="D69" s="402">
        <v>0.05</v>
      </c>
      <c r="E69" s="270">
        <f>ROUND(((E24/12)*D69),2)</f>
        <v>11.43</v>
      </c>
    </row>
    <row r="70" spans="1:5" ht="15">
      <c r="A70" s="653" t="s">
        <v>310</v>
      </c>
      <c r="B70" s="653"/>
      <c r="C70" s="653"/>
      <c r="D70" s="653"/>
      <c r="E70" s="653"/>
    </row>
    <row r="71" spans="1:5" ht="29.25" customHeight="1">
      <c r="A71" s="590" t="s">
        <v>919</v>
      </c>
      <c r="B71" s="591"/>
      <c r="C71" s="591"/>
      <c r="D71" s="591"/>
      <c r="E71" s="592"/>
    </row>
    <row r="72" spans="1:5" ht="15">
      <c r="A72" s="318" t="s">
        <v>275</v>
      </c>
      <c r="B72" s="543" t="s">
        <v>311</v>
      </c>
      <c r="C72" s="544"/>
      <c r="D72" s="545"/>
      <c r="E72" s="319">
        <f>ROUND((E69*0.08),2)</f>
        <v>0.91</v>
      </c>
    </row>
    <row r="73" spans="1:5" ht="15">
      <c r="A73" s="654" t="s">
        <v>920</v>
      </c>
      <c r="B73" s="655"/>
      <c r="C73" s="655"/>
      <c r="D73" s="655"/>
      <c r="E73" s="656"/>
    </row>
    <row r="74" spans="1:5" ht="15">
      <c r="A74" s="421" t="s">
        <v>277</v>
      </c>
      <c r="B74" s="546" t="s">
        <v>921</v>
      </c>
      <c r="C74" s="547"/>
      <c r="D74" s="548"/>
      <c r="E74" s="422"/>
    </row>
    <row r="75" spans="1:5" ht="30" customHeight="1">
      <c r="A75" s="590" t="s">
        <v>922</v>
      </c>
      <c r="B75" s="591"/>
      <c r="C75" s="591"/>
      <c r="D75" s="591"/>
      <c r="E75" s="592"/>
    </row>
    <row r="76" spans="1:5" ht="15">
      <c r="A76" s="320" t="s">
        <v>286</v>
      </c>
      <c r="B76" s="640" t="s">
        <v>312</v>
      </c>
      <c r="C76" s="640"/>
      <c r="D76" s="640"/>
      <c r="E76" s="423">
        <f>ROUND((((E24/30)/12)*7*1),2)</f>
        <v>53.33</v>
      </c>
    </row>
    <row r="77" spans="1:5" ht="30" customHeight="1">
      <c r="A77" s="641" t="s">
        <v>923</v>
      </c>
      <c r="B77" s="642"/>
      <c r="C77" s="642"/>
      <c r="D77" s="642"/>
      <c r="E77" s="643"/>
    </row>
    <row r="78" spans="1:5" ht="15">
      <c r="A78" s="302" t="s">
        <v>289</v>
      </c>
      <c r="B78" s="644" t="s">
        <v>924</v>
      </c>
      <c r="C78" s="645"/>
      <c r="D78" s="646"/>
      <c r="E78" s="321">
        <f>ROUND((D45*E76),2)</f>
        <v>21.23</v>
      </c>
    </row>
    <row r="79" spans="1:5" ht="15">
      <c r="A79" s="322" t="s">
        <v>290</v>
      </c>
      <c r="B79" s="647" t="s">
        <v>925</v>
      </c>
      <c r="C79" s="648"/>
      <c r="D79" s="649"/>
      <c r="E79" s="323">
        <f>ROUND(((E24+E29+E31)*0.4*0.08*1),2)</f>
        <v>105.69</v>
      </c>
    </row>
    <row r="80" spans="1:5" ht="29.25" customHeight="1">
      <c r="A80" s="641" t="s">
        <v>926</v>
      </c>
      <c r="B80" s="642"/>
      <c r="C80" s="642"/>
      <c r="D80" s="642"/>
      <c r="E80" s="643"/>
    </row>
    <row r="81" spans="1:5" ht="15">
      <c r="A81" s="650" t="s">
        <v>927</v>
      </c>
      <c r="B81" s="651"/>
      <c r="C81" s="651"/>
      <c r="D81" s="652"/>
      <c r="E81" s="324">
        <f>ROUND((E69+E72+E74+E76+E78+E79),2)</f>
        <v>192.59</v>
      </c>
    </row>
    <row r="82" spans="1:5" ht="15">
      <c r="A82" s="306"/>
      <c r="B82" s="306"/>
      <c r="C82" s="306"/>
      <c r="D82" s="306"/>
      <c r="E82" s="424"/>
    </row>
    <row r="83" spans="1:5" ht="15">
      <c r="A83" s="306"/>
      <c r="B83" s="306"/>
      <c r="C83" s="306"/>
      <c r="D83" s="306"/>
      <c r="E83" s="424"/>
    </row>
    <row r="84" spans="1:5" ht="30">
      <c r="A84" s="624" t="s">
        <v>928</v>
      </c>
      <c r="B84" s="625"/>
      <c r="C84" s="626"/>
      <c r="D84" s="425" t="s">
        <v>76</v>
      </c>
      <c r="E84" s="412" t="s">
        <v>282</v>
      </c>
    </row>
    <row r="85" spans="1:5" ht="15">
      <c r="A85" s="627" t="s">
        <v>929</v>
      </c>
      <c r="B85" s="628"/>
      <c r="C85" s="628"/>
      <c r="D85" s="628"/>
      <c r="E85" s="629"/>
    </row>
    <row r="86" spans="1:5" ht="15">
      <c r="A86" s="318" t="s">
        <v>273</v>
      </c>
      <c r="B86" s="297" t="s">
        <v>930</v>
      </c>
      <c r="C86" s="298"/>
      <c r="D86" s="298"/>
      <c r="E86" s="325">
        <f>ROUND(((E24+E65+E81)*12.1/100/12),2)</f>
        <v>55.1</v>
      </c>
    </row>
    <row r="87" spans="1:5" ht="15">
      <c r="A87" s="630" t="s">
        <v>931</v>
      </c>
      <c r="B87" s="631"/>
      <c r="C87" s="631"/>
      <c r="D87" s="631"/>
      <c r="E87" s="632"/>
    </row>
    <row r="88" spans="1:5" ht="33" customHeight="1">
      <c r="A88" s="613" t="s">
        <v>275</v>
      </c>
      <c r="B88" s="634" t="s">
        <v>932</v>
      </c>
      <c r="C88" s="635"/>
      <c r="D88" s="326" t="s">
        <v>84</v>
      </c>
      <c r="E88" s="638">
        <f>ROUND((((E24/30)/12)*D89),2)</f>
        <v>22.85</v>
      </c>
    </row>
    <row r="89" spans="1:5" ht="15">
      <c r="A89" s="633"/>
      <c r="B89" s="636"/>
      <c r="C89" s="637"/>
      <c r="D89" s="327">
        <v>3</v>
      </c>
      <c r="E89" s="639"/>
    </row>
    <row r="90" spans="1:5" ht="15">
      <c r="A90" s="590" t="s">
        <v>933</v>
      </c>
      <c r="B90" s="591"/>
      <c r="C90" s="591"/>
      <c r="D90" s="591"/>
      <c r="E90" s="592"/>
    </row>
    <row r="91" spans="1:5" ht="15">
      <c r="A91" s="590" t="s">
        <v>934</v>
      </c>
      <c r="B91" s="591"/>
      <c r="C91" s="591"/>
      <c r="D91" s="591"/>
      <c r="E91" s="592"/>
    </row>
    <row r="92" spans="1:5" ht="36" customHeight="1">
      <c r="A92" s="617" t="s">
        <v>277</v>
      </c>
      <c r="B92" s="618" t="s">
        <v>935</v>
      </c>
      <c r="C92" s="317" t="s">
        <v>85</v>
      </c>
      <c r="D92" s="317" t="s">
        <v>288</v>
      </c>
      <c r="E92" s="620">
        <f>ROUND((((E24/30)/12)*C93*D93),2)</f>
        <v>0.57</v>
      </c>
    </row>
    <row r="93" spans="1:5" ht="15">
      <c r="A93" s="617"/>
      <c r="B93" s="619"/>
      <c r="C93" s="263">
        <v>5</v>
      </c>
      <c r="D93" s="328">
        <v>0.015</v>
      </c>
      <c r="E93" s="620"/>
    </row>
    <row r="94" spans="1:5" ht="30" customHeight="1">
      <c r="A94" s="621" t="s">
        <v>936</v>
      </c>
      <c r="B94" s="622"/>
      <c r="C94" s="622"/>
      <c r="D94" s="622"/>
      <c r="E94" s="623"/>
    </row>
    <row r="95" spans="1:5" ht="30.75" customHeight="1">
      <c r="A95" s="590" t="s">
        <v>937</v>
      </c>
      <c r="B95" s="591"/>
      <c r="C95" s="591"/>
      <c r="D95" s="591"/>
      <c r="E95" s="592"/>
    </row>
    <row r="96" spans="1:5" ht="31.5" customHeight="1">
      <c r="A96" s="613" t="s">
        <v>286</v>
      </c>
      <c r="B96" s="614" t="s">
        <v>938</v>
      </c>
      <c r="C96" s="329" t="s">
        <v>314</v>
      </c>
      <c r="D96" s="326" t="s">
        <v>288</v>
      </c>
      <c r="E96" s="616">
        <f>ROUND((((E24/30)/12)*C97*D97),2)</f>
        <v>6.86</v>
      </c>
    </row>
    <row r="97" spans="1:5" ht="15">
      <c r="A97" s="613"/>
      <c r="B97" s="615"/>
      <c r="C97" s="312">
        <v>15</v>
      </c>
      <c r="D97" s="330">
        <v>0.06</v>
      </c>
      <c r="E97" s="616"/>
    </row>
    <row r="98" spans="1:5" ht="30" customHeight="1">
      <c r="A98" s="587" t="s">
        <v>939</v>
      </c>
      <c r="B98" s="588"/>
      <c r="C98" s="588"/>
      <c r="D98" s="588"/>
      <c r="E98" s="589"/>
    </row>
    <row r="99" spans="1:5" ht="30" customHeight="1">
      <c r="A99" s="590" t="s">
        <v>940</v>
      </c>
      <c r="B99" s="591"/>
      <c r="C99" s="591"/>
      <c r="D99" s="591"/>
      <c r="E99" s="592"/>
    </row>
    <row r="100" spans="1:5" ht="15">
      <c r="A100" s="314" t="s">
        <v>289</v>
      </c>
      <c r="B100" s="605" t="s">
        <v>941</v>
      </c>
      <c r="C100" s="606"/>
      <c r="D100" s="607"/>
      <c r="E100" s="257"/>
    </row>
    <row r="101" spans="1:5" ht="15">
      <c r="A101" s="331" t="s">
        <v>306</v>
      </c>
      <c r="B101" s="332"/>
      <c r="C101" s="332"/>
      <c r="D101" s="332"/>
      <c r="E101" s="270">
        <f>SUM(E86+E88+E92+E96)</f>
        <v>85.38</v>
      </c>
    </row>
    <row r="102" spans="1:5" ht="15">
      <c r="A102" s="307" t="s">
        <v>290</v>
      </c>
      <c r="B102" s="608" t="s">
        <v>942</v>
      </c>
      <c r="C102" s="609"/>
      <c r="D102" s="609"/>
      <c r="E102" s="292">
        <f>ROUND((D45*E101),2)</f>
        <v>33.98</v>
      </c>
    </row>
    <row r="103" spans="1:5" ht="15">
      <c r="A103" s="610" t="s">
        <v>943</v>
      </c>
      <c r="B103" s="610"/>
      <c r="C103" s="610"/>
      <c r="D103" s="610"/>
      <c r="E103" s="270">
        <f>ROUND((E101+E102),2)</f>
        <v>119.36</v>
      </c>
    </row>
    <row r="104" spans="1:5" ht="15">
      <c r="A104" s="348"/>
      <c r="B104" s="348"/>
      <c r="C104" s="348"/>
      <c r="D104" s="348"/>
      <c r="E104" s="285"/>
    </row>
    <row r="105" spans="1:5" ht="15">
      <c r="A105" s="348"/>
      <c r="B105" s="348"/>
      <c r="C105" s="348"/>
      <c r="D105" s="348"/>
      <c r="E105" s="285"/>
    </row>
    <row r="106" spans="1:5" ht="15">
      <c r="A106" s="611" t="s">
        <v>944</v>
      </c>
      <c r="B106" s="611"/>
      <c r="C106" s="611"/>
      <c r="D106" s="611"/>
      <c r="E106" s="611"/>
    </row>
    <row r="107" spans="1:5" ht="18.75" customHeight="1">
      <c r="A107" s="612" t="s">
        <v>273</v>
      </c>
      <c r="B107" s="614" t="s">
        <v>945</v>
      </c>
      <c r="C107" s="311" t="s">
        <v>308</v>
      </c>
      <c r="D107" s="311" t="s">
        <v>288</v>
      </c>
      <c r="E107" s="301" t="s">
        <v>577</v>
      </c>
    </row>
    <row r="108" spans="1:5" ht="15">
      <c r="A108" s="613"/>
      <c r="B108" s="615"/>
      <c r="C108" s="312">
        <v>4</v>
      </c>
      <c r="D108" s="313">
        <v>0.02</v>
      </c>
      <c r="E108" s="270">
        <f>ROUND(((E24+E24/3)*(4/12)/12*(D108)),2)</f>
        <v>2.03</v>
      </c>
    </row>
    <row r="109" spans="1:5" ht="30.75" customHeight="1">
      <c r="A109" s="587" t="s">
        <v>946</v>
      </c>
      <c r="B109" s="588"/>
      <c r="C109" s="588"/>
      <c r="D109" s="588"/>
      <c r="E109" s="589"/>
    </row>
    <row r="110" spans="1:5" ht="32.25" customHeight="1">
      <c r="A110" s="590" t="s">
        <v>947</v>
      </c>
      <c r="B110" s="591"/>
      <c r="C110" s="591"/>
      <c r="D110" s="591"/>
      <c r="E110" s="592"/>
    </row>
    <row r="111" spans="1:5" ht="30" customHeight="1">
      <c r="A111" s="314" t="s">
        <v>275</v>
      </c>
      <c r="B111" s="593" t="s">
        <v>948</v>
      </c>
      <c r="C111" s="594"/>
      <c r="D111" s="595"/>
      <c r="E111" s="270">
        <f>ROUND((E108*D45),2)</f>
        <v>0.81</v>
      </c>
    </row>
    <row r="112" spans="1:5" ht="15">
      <c r="A112" s="596" t="s">
        <v>949</v>
      </c>
      <c r="B112" s="597"/>
      <c r="C112" s="597"/>
      <c r="D112" s="597"/>
      <c r="E112" s="598"/>
    </row>
    <row r="113" spans="1:5" ht="16.5" customHeight="1">
      <c r="A113" s="426" t="s">
        <v>277</v>
      </c>
      <c r="B113" s="599" t="s">
        <v>950</v>
      </c>
      <c r="C113" s="600"/>
      <c r="D113" s="601"/>
      <c r="E113" s="292">
        <f>ROUND(((E24+E29)*(4/12)*D108*D42),2)</f>
        <v>1.58</v>
      </c>
    </row>
    <row r="114" spans="1:5" ht="29.25" customHeight="1">
      <c r="A114" s="602" t="s">
        <v>951</v>
      </c>
      <c r="B114" s="603"/>
      <c r="C114" s="603"/>
      <c r="D114" s="603"/>
      <c r="E114" s="604"/>
    </row>
    <row r="115" spans="1:5" ht="15">
      <c r="A115" s="580" t="s">
        <v>952</v>
      </c>
      <c r="B115" s="581"/>
      <c r="C115" s="581"/>
      <c r="D115" s="582"/>
      <c r="E115" s="270">
        <f>ROUND((E108+E111+E113),2)</f>
        <v>4.42</v>
      </c>
    </row>
    <row r="116" spans="1:5" ht="15">
      <c r="A116" s="348"/>
      <c r="B116" s="348"/>
      <c r="C116" s="348"/>
      <c r="D116" s="348"/>
      <c r="E116" s="285"/>
    </row>
    <row r="117" spans="1:5" ht="15.75">
      <c r="A117" s="264"/>
      <c r="B117" s="266"/>
      <c r="C117" s="266"/>
      <c r="D117" s="266"/>
      <c r="E117" s="345"/>
    </row>
    <row r="118" spans="1:5" ht="15">
      <c r="A118" s="583" t="s">
        <v>953</v>
      </c>
      <c r="B118" s="583"/>
      <c r="C118" s="583"/>
      <c r="D118" s="583"/>
      <c r="E118" s="583"/>
    </row>
    <row r="119" spans="1:5" ht="15">
      <c r="A119" s="404" t="s">
        <v>292</v>
      </c>
      <c r="B119" s="576" t="s">
        <v>313</v>
      </c>
      <c r="C119" s="569"/>
      <c r="D119" s="570"/>
      <c r="E119" s="417">
        <f>E103</f>
        <v>119.36</v>
      </c>
    </row>
    <row r="120" spans="1:5" ht="16.5" customHeight="1">
      <c r="A120" s="404" t="s">
        <v>954</v>
      </c>
      <c r="B120" s="576" t="s">
        <v>315</v>
      </c>
      <c r="C120" s="569"/>
      <c r="D120" s="570"/>
      <c r="E120" s="418">
        <f>E115</f>
        <v>4.42</v>
      </c>
    </row>
    <row r="121" spans="1:5" ht="15">
      <c r="A121" s="553" t="s">
        <v>955</v>
      </c>
      <c r="B121" s="554"/>
      <c r="C121" s="554"/>
      <c r="D121" s="555"/>
      <c r="E121" s="417">
        <f>SUM(E119:E120)</f>
        <v>123.78</v>
      </c>
    </row>
    <row r="122" spans="1:5" ht="15">
      <c r="A122" s="339"/>
      <c r="B122" s="339"/>
      <c r="C122" s="339"/>
      <c r="D122" s="339"/>
      <c r="E122" s="419"/>
    </row>
    <row r="123" spans="1:5" ht="15">
      <c r="A123" s="584" t="s">
        <v>956</v>
      </c>
      <c r="B123" s="585"/>
      <c r="C123" s="585"/>
      <c r="D123" s="586"/>
      <c r="E123" s="295" t="s">
        <v>282</v>
      </c>
    </row>
    <row r="124" spans="1:5" ht="15">
      <c r="A124" s="289" t="s">
        <v>273</v>
      </c>
      <c r="B124" s="576" t="s">
        <v>291</v>
      </c>
      <c r="C124" s="569"/>
      <c r="D124" s="570"/>
      <c r="E124" s="437">
        <v>80.96</v>
      </c>
    </row>
    <row r="125" spans="1:5" ht="15">
      <c r="A125" s="427" t="s">
        <v>275</v>
      </c>
      <c r="B125" s="577" t="s">
        <v>97</v>
      </c>
      <c r="C125" s="578"/>
      <c r="D125" s="579"/>
      <c r="E125" s="437">
        <f>'A1) Ferramentas'!G55</f>
        <v>65.51871562500001</v>
      </c>
    </row>
    <row r="126" spans="1:5" ht="15">
      <c r="A126" s="427" t="s">
        <v>277</v>
      </c>
      <c r="B126" s="577" t="s">
        <v>972</v>
      </c>
      <c r="C126" s="578"/>
      <c r="D126" s="579"/>
      <c r="E126" s="437">
        <f>'A1) Ferramentas'!G91</f>
        <v>197.10250000000002</v>
      </c>
    </row>
    <row r="127" spans="1:5" ht="15">
      <c r="A127" s="289" t="s">
        <v>286</v>
      </c>
      <c r="B127" s="576" t="s">
        <v>283</v>
      </c>
      <c r="C127" s="569"/>
      <c r="D127" s="570"/>
      <c r="E127" s="294"/>
    </row>
    <row r="128" spans="1:5" ht="15">
      <c r="A128" s="556" t="s">
        <v>957</v>
      </c>
      <c r="B128" s="557"/>
      <c r="C128" s="557"/>
      <c r="D128" s="558"/>
      <c r="E128" s="270">
        <f>SUM(E124:E127)</f>
        <v>343.581215625</v>
      </c>
    </row>
    <row r="129" spans="1:5" ht="15">
      <c r="A129" s="315"/>
      <c r="B129" s="286"/>
      <c r="C129" s="283"/>
      <c r="D129" s="316"/>
      <c r="E129" s="429"/>
    </row>
    <row r="130" spans="1:5" ht="15">
      <c r="A130" s="575" t="s">
        <v>958</v>
      </c>
      <c r="B130" s="575"/>
      <c r="C130" s="575"/>
      <c r="D130" s="278" t="s">
        <v>281</v>
      </c>
      <c r="E130" s="295" t="s">
        <v>282</v>
      </c>
    </row>
    <row r="131" spans="1:5" ht="15">
      <c r="A131" s="333" t="s">
        <v>273</v>
      </c>
      <c r="B131" s="334" t="s">
        <v>649</v>
      </c>
      <c r="C131" s="335"/>
      <c r="D131" s="439">
        <f>'A2) BDI'!D8</f>
        <v>0.09117690499999997</v>
      </c>
      <c r="E131" s="270">
        <f>ROUND(((E24+E65+E81+E121+E128)*D131),2)</f>
        <v>540.82</v>
      </c>
    </row>
    <row r="132" spans="1:5" ht="15">
      <c r="A132" s="559" t="s">
        <v>999</v>
      </c>
      <c r="B132" s="560"/>
      <c r="C132" s="560"/>
      <c r="D132" s="560"/>
      <c r="E132" s="561"/>
    </row>
    <row r="133" spans="1:5" ht="15">
      <c r="A133" s="333" t="s">
        <v>275</v>
      </c>
      <c r="B133" s="334" t="s">
        <v>321</v>
      </c>
      <c r="C133" s="335"/>
      <c r="D133" s="439">
        <f>'A2) BDI'!D13</f>
        <v>0.0825</v>
      </c>
      <c r="E133" s="270">
        <f>ROUND(((E24+E65+E81+E121+E128+E131)*D133),2)</f>
        <v>533.97</v>
      </c>
    </row>
    <row r="134" spans="1:5" ht="15">
      <c r="A134" s="559" t="s">
        <v>959</v>
      </c>
      <c r="B134" s="560"/>
      <c r="C134" s="560"/>
      <c r="D134" s="560"/>
      <c r="E134" s="561"/>
    </row>
    <row r="135" spans="1:5" ht="15">
      <c r="A135" s="333" t="s">
        <v>277</v>
      </c>
      <c r="B135" s="334" t="s">
        <v>316</v>
      </c>
      <c r="C135" s="335"/>
      <c r="D135" s="263"/>
      <c r="E135" s="317"/>
    </row>
    <row r="136" spans="1:5" ht="15">
      <c r="A136" s="333"/>
      <c r="B136" s="334" t="s">
        <v>86</v>
      </c>
      <c r="C136" s="335"/>
      <c r="D136" s="337">
        <f>(1-(D138+D140+D142+D139))/100</f>
        <v>0.009134999999999999</v>
      </c>
      <c r="E136" s="270">
        <f>ROUND((E24+E65+E81+E121+E128+E131+E133)/D136/100,2)</f>
        <v>7669.77</v>
      </c>
    </row>
    <row r="137" spans="1:5" ht="15">
      <c r="A137" s="338" t="s">
        <v>87</v>
      </c>
      <c r="B137" s="279" t="s">
        <v>88</v>
      </c>
      <c r="C137" s="280"/>
      <c r="D137" s="257"/>
      <c r="E137" s="257"/>
    </row>
    <row r="138" spans="1:5" ht="15">
      <c r="A138" s="338"/>
      <c r="B138" s="279" t="s">
        <v>317</v>
      </c>
      <c r="C138" s="280"/>
      <c r="D138" s="440">
        <f>'A2) BDI'!D14</f>
        <v>0.0065</v>
      </c>
      <c r="E138" s="270">
        <f>E136*D138</f>
        <v>49.853505</v>
      </c>
    </row>
    <row r="139" spans="1:5" ht="15">
      <c r="A139" s="338"/>
      <c r="B139" s="279" t="s">
        <v>319</v>
      </c>
      <c r="C139" s="280"/>
      <c r="D139" s="440">
        <f>'A2) BDI'!D15</f>
        <v>0.03</v>
      </c>
      <c r="E139" s="270">
        <f>E136*D139</f>
        <v>230.0931</v>
      </c>
    </row>
    <row r="140" spans="1:5" ht="15">
      <c r="A140" s="338"/>
      <c r="B140" s="279" t="s">
        <v>23</v>
      </c>
      <c r="C140" s="280"/>
      <c r="D140" s="440">
        <f>'A2) BDI'!D17</f>
        <v>0</v>
      </c>
      <c r="E140" s="270">
        <f>E136*D140</f>
        <v>0</v>
      </c>
    </row>
    <row r="141" spans="1:5" ht="15">
      <c r="A141" s="338" t="s">
        <v>89</v>
      </c>
      <c r="B141" s="279" t="s">
        <v>90</v>
      </c>
      <c r="C141" s="280"/>
      <c r="D141" s="336"/>
      <c r="E141" s="258"/>
    </row>
    <row r="142" spans="1:5" ht="15">
      <c r="A142" s="338"/>
      <c r="B142" s="279" t="s">
        <v>320</v>
      </c>
      <c r="C142" s="280"/>
      <c r="D142" s="439">
        <f>'A2) BDI'!D16</f>
        <v>0.05</v>
      </c>
      <c r="E142" s="270">
        <f>E136*D142</f>
        <v>383.48850000000004</v>
      </c>
    </row>
    <row r="143" spans="1:5" ht="15">
      <c r="A143" s="338"/>
      <c r="B143" s="279" t="s">
        <v>303</v>
      </c>
      <c r="C143" s="280"/>
      <c r="D143" s="336">
        <f>D138+D139+D140+D142</f>
        <v>0.0865</v>
      </c>
      <c r="E143" s="270">
        <f>E131+E133+E138+E140+E142+E139</f>
        <v>1738.225105</v>
      </c>
    </row>
    <row r="144" spans="1:5" ht="15">
      <c r="A144" s="310"/>
      <c r="B144" s="283"/>
      <c r="C144" s="264"/>
      <c r="D144" s="430"/>
      <c r="E144" s="285"/>
    </row>
    <row r="145" spans="1:5" ht="15">
      <c r="A145" s="575" t="s">
        <v>91</v>
      </c>
      <c r="B145" s="575"/>
      <c r="C145" s="575"/>
      <c r="D145" s="575"/>
      <c r="E145" s="448" t="s">
        <v>1000</v>
      </c>
    </row>
    <row r="146" spans="1:5" ht="15">
      <c r="A146" s="341" t="s">
        <v>273</v>
      </c>
      <c r="B146" s="559" t="s">
        <v>92</v>
      </c>
      <c r="C146" s="560"/>
      <c r="D146" s="561"/>
      <c r="E146" s="270">
        <f>E24</f>
        <v>2742.55</v>
      </c>
    </row>
    <row r="147" spans="1:5" ht="15">
      <c r="A147" s="341" t="s">
        <v>275</v>
      </c>
      <c r="B147" s="559" t="s">
        <v>960</v>
      </c>
      <c r="C147" s="560"/>
      <c r="D147" s="561"/>
      <c r="E147" s="270">
        <f>E65</f>
        <v>2529.0436</v>
      </c>
    </row>
    <row r="148" spans="1:5" ht="15">
      <c r="A148" s="341" t="s">
        <v>277</v>
      </c>
      <c r="B148" s="559" t="s">
        <v>961</v>
      </c>
      <c r="C148" s="560"/>
      <c r="D148" s="561"/>
      <c r="E148" s="270">
        <f>E81</f>
        <v>192.59</v>
      </c>
    </row>
    <row r="149" spans="1:5" ht="15">
      <c r="A149" s="341" t="s">
        <v>286</v>
      </c>
      <c r="B149" s="559" t="s">
        <v>962</v>
      </c>
      <c r="C149" s="560"/>
      <c r="D149" s="561"/>
      <c r="E149" s="270">
        <f>E121</f>
        <v>123.78</v>
      </c>
    </row>
    <row r="150" spans="1:5" ht="15">
      <c r="A150" s="341" t="s">
        <v>289</v>
      </c>
      <c r="B150" s="559" t="s">
        <v>963</v>
      </c>
      <c r="C150" s="560"/>
      <c r="D150" s="561"/>
      <c r="E150" s="270">
        <f>E128</f>
        <v>343.581215625</v>
      </c>
    </row>
    <row r="151" spans="1:6" ht="15">
      <c r="A151" s="559" t="s">
        <v>964</v>
      </c>
      <c r="B151" s="560"/>
      <c r="C151" s="560"/>
      <c r="D151" s="561"/>
      <c r="E151" s="270">
        <f>SUM(E146:E150)</f>
        <v>5931.544815625</v>
      </c>
      <c r="F151" s="181">
        <f>E152/E151</f>
        <v>0.2930476223362809</v>
      </c>
    </row>
    <row r="152" spans="1:5" ht="15">
      <c r="A152" s="341" t="s">
        <v>290</v>
      </c>
      <c r="B152" s="559" t="s">
        <v>965</v>
      </c>
      <c r="C152" s="560"/>
      <c r="D152" s="561"/>
      <c r="E152" s="270">
        <f>E143</f>
        <v>1738.225105</v>
      </c>
    </row>
    <row r="153" spans="1:5" ht="15">
      <c r="A153" s="572" t="s">
        <v>93</v>
      </c>
      <c r="B153" s="573"/>
      <c r="C153" s="573"/>
      <c r="D153" s="574"/>
      <c r="E153" s="428">
        <f>E151+E152</f>
        <v>7669.769920625</v>
      </c>
    </row>
    <row r="154" spans="1:5" ht="15">
      <c r="A154" s="559" t="s">
        <v>94</v>
      </c>
      <c r="B154" s="560"/>
      <c r="C154" s="560"/>
      <c r="D154" s="561"/>
      <c r="E154" s="342">
        <f>E18</f>
        <v>2</v>
      </c>
    </row>
    <row r="155" spans="1:5" ht="15">
      <c r="A155" s="559" t="s">
        <v>95</v>
      </c>
      <c r="B155" s="560"/>
      <c r="C155" s="560"/>
      <c r="D155" s="561"/>
      <c r="E155" s="270">
        <f>ROUND(E154*E153,2)</f>
        <v>15339.54</v>
      </c>
    </row>
    <row r="156" spans="1:5" ht="15">
      <c r="A156" s="559" t="s">
        <v>966</v>
      </c>
      <c r="B156" s="560"/>
      <c r="C156" s="560"/>
      <c r="D156" s="561"/>
      <c r="E156" s="270">
        <f>ROUND((E155*12),2)</f>
        <v>184074.48</v>
      </c>
    </row>
    <row r="157" spans="1:5" ht="15">
      <c r="A157" s="256"/>
      <c r="B157" s="256"/>
      <c r="C157" s="256"/>
      <c r="D157" s="276"/>
      <c r="E157" s="429"/>
    </row>
    <row r="158" spans="1:5" ht="15">
      <c r="A158" s="256"/>
      <c r="B158" s="256"/>
      <c r="C158" s="256"/>
      <c r="D158" s="276"/>
      <c r="E158" s="429"/>
    </row>
    <row r="159" spans="1:5" ht="15">
      <c r="A159" s="562" t="s">
        <v>96</v>
      </c>
      <c r="B159" s="563"/>
      <c r="C159" s="563"/>
      <c r="D159" s="563"/>
      <c r="E159" s="564"/>
    </row>
    <row r="160" spans="1:5" ht="15">
      <c r="A160" s="565" t="s">
        <v>223</v>
      </c>
      <c r="B160" s="566"/>
      <c r="C160" s="566"/>
      <c r="D160" s="567"/>
      <c r="E160" s="301" t="s">
        <v>577</v>
      </c>
    </row>
    <row r="161" spans="1:5" ht="15">
      <c r="A161" s="568" t="s">
        <v>305</v>
      </c>
      <c r="B161" s="569"/>
      <c r="C161" s="569"/>
      <c r="D161" s="570"/>
      <c r="E161" s="270">
        <f>E29</f>
        <v>228.45</v>
      </c>
    </row>
    <row r="162" spans="1:5" ht="15">
      <c r="A162" s="543" t="s">
        <v>83</v>
      </c>
      <c r="B162" s="544"/>
      <c r="C162" s="544"/>
      <c r="D162" s="545"/>
      <c r="E162" s="431">
        <f>E31</f>
        <v>331.85</v>
      </c>
    </row>
    <row r="163" spans="1:5" ht="15">
      <c r="A163" s="546" t="s">
        <v>921</v>
      </c>
      <c r="B163" s="547"/>
      <c r="C163" s="547"/>
      <c r="D163" s="548"/>
      <c r="E163" s="422">
        <f>E74</f>
        <v>0</v>
      </c>
    </row>
    <row r="164" spans="1:5" ht="15">
      <c r="A164" s="549" t="s">
        <v>925</v>
      </c>
      <c r="B164" s="550"/>
      <c r="C164" s="550"/>
      <c r="D164" s="551"/>
      <c r="E164" s="343">
        <f>E79</f>
        <v>105.69</v>
      </c>
    </row>
    <row r="165" spans="1:5" ht="15">
      <c r="A165" s="552" t="s">
        <v>306</v>
      </c>
      <c r="B165" s="552"/>
      <c r="C165" s="552"/>
      <c r="D165" s="552"/>
      <c r="E165" s="344">
        <f>SUM(E161:E164)</f>
        <v>665.99</v>
      </c>
    </row>
    <row r="166" spans="1:5" ht="30.75" customHeight="1">
      <c r="A166" s="553" t="s">
        <v>967</v>
      </c>
      <c r="B166" s="554"/>
      <c r="C166" s="555"/>
      <c r="D166" s="432">
        <v>0.0782</v>
      </c>
      <c r="E166" s="257">
        <f>ROUND((E24*D166),2)</f>
        <v>214.47</v>
      </c>
    </row>
    <row r="167" spans="1:5" ht="15">
      <c r="A167" s="556" t="s">
        <v>194</v>
      </c>
      <c r="B167" s="557"/>
      <c r="C167" s="557"/>
      <c r="D167" s="558"/>
      <c r="E167" s="344">
        <f>SUM(E165:E166)</f>
        <v>880.46</v>
      </c>
    </row>
    <row r="168" spans="1:5" ht="15">
      <c r="A168" s="265"/>
      <c r="B168" s="265"/>
      <c r="C168" s="265"/>
      <c r="D168" s="265"/>
      <c r="E168" s="434"/>
    </row>
    <row r="169" spans="1:5" ht="15">
      <c r="A169" s="571" t="s">
        <v>1059</v>
      </c>
      <c r="B169" s="571"/>
      <c r="C169" s="264"/>
      <c r="D169" s="284"/>
      <c r="E169" s="277"/>
    </row>
    <row r="170" spans="1:5" ht="15">
      <c r="A170" s="542" t="s">
        <v>592</v>
      </c>
      <c r="B170" s="542"/>
      <c r="C170" s="256"/>
      <c r="D170" s="276"/>
      <c r="E170" s="277"/>
    </row>
    <row r="171" spans="1:5" ht="15.75">
      <c r="A171" s="542" t="s">
        <v>968</v>
      </c>
      <c r="B171" s="542"/>
      <c r="C171" s="256"/>
      <c r="D171" s="276"/>
      <c r="E171" s="345"/>
    </row>
  </sheetData>
  <sheetProtection/>
  <mergeCells count="119">
    <mergeCell ref="A4:E4"/>
    <mergeCell ref="A5:E5"/>
    <mergeCell ref="B6:D6"/>
    <mergeCell ref="B7:D7"/>
    <mergeCell ref="B8:D8"/>
    <mergeCell ref="B9:D9"/>
    <mergeCell ref="A11:E11"/>
    <mergeCell ref="B12:D12"/>
    <mergeCell ref="B15:D15"/>
    <mergeCell ref="B18:D18"/>
    <mergeCell ref="A20:C20"/>
    <mergeCell ref="A23:E23"/>
    <mergeCell ref="A26:C26"/>
    <mergeCell ref="A27:E27"/>
    <mergeCell ref="A30:E30"/>
    <mergeCell ref="A32:E32"/>
    <mergeCell ref="A33:D33"/>
    <mergeCell ref="A36:E36"/>
    <mergeCell ref="B37:C37"/>
    <mergeCell ref="B38:C38"/>
    <mergeCell ref="B39:C39"/>
    <mergeCell ref="B40:C40"/>
    <mergeCell ref="B41:C41"/>
    <mergeCell ref="B42:C42"/>
    <mergeCell ref="B43:C43"/>
    <mergeCell ref="B44:C44"/>
    <mergeCell ref="A45:C45"/>
    <mergeCell ref="A46:E46"/>
    <mergeCell ref="A49:E49"/>
    <mergeCell ref="A55:E55"/>
    <mergeCell ref="A57:C57"/>
    <mergeCell ref="A60:E60"/>
    <mergeCell ref="B61:D61"/>
    <mergeCell ref="B62:D62"/>
    <mergeCell ref="A63:D63"/>
    <mergeCell ref="B64:D64"/>
    <mergeCell ref="A65:D65"/>
    <mergeCell ref="A68:C68"/>
    <mergeCell ref="B69:C69"/>
    <mergeCell ref="A70:E70"/>
    <mergeCell ref="A71:E71"/>
    <mergeCell ref="B72:D72"/>
    <mergeCell ref="A73:E73"/>
    <mergeCell ref="B74:D74"/>
    <mergeCell ref="A75:E75"/>
    <mergeCell ref="B76:D76"/>
    <mergeCell ref="A77:E77"/>
    <mergeCell ref="B78:D78"/>
    <mergeCell ref="B79:D79"/>
    <mergeCell ref="A80:E80"/>
    <mergeCell ref="A81:D81"/>
    <mergeCell ref="A84:C84"/>
    <mergeCell ref="A85:E85"/>
    <mergeCell ref="A87:E87"/>
    <mergeCell ref="A88:A89"/>
    <mergeCell ref="B88:C89"/>
    <mergeCell ref="E88:E89"/>
    <mergeCell ref="A90:E90"/>
    <mergeCell ref="A91:E91"/>
    <mergeCell ref="A92:A93"/>
    <mergeCell ref="B92:B93"/>
    <mergeCell ref="E92:E93"/>
    <mergeCell ref="A94:E94"/>
    <mergeCell ref="A95:E95"/>
    <mergeCell ref="A96:A97"/>
    <mergeCell ref="B96:B97"/>
    <mergeCell ref="E96:E97"/>
    <mergeCell ref="A98:E98"/>
    <mergeCell ref="A99:E99"/>
    <mergeCell ref="B100:D100"/>
    <mergeCell ref="B102:D102"/>
    <mergeCell ref="A103:D103"/>
    <mergeCell ref="A106:E106"/>
    <mergeCell ref="A107:A108"/>
    <mergeCell ref="B107:B108"/>
    <mergeCell ref="A109:E109"/>
    <mergeCell ref="A110:E110"/>
    <mergeCell ref="B111:D111"/>
    <mergeCell ref="A112:E112"/>
    <mergeCell ref="B113:D113"/>
    <mergeCell ref="A114:E114"/>
    <mergeCell ref="A115:D115"/>
    <mergeCell ref="A118:E118"/>
    <mergeCell ref="B119:D119"/>
    <mergeCell ref="B120:D120"/>
    <mergeCell ref="A121:D121"/>
    <mergeCell ref="A123:D123"/>
    <mergeCell ref="B124:D124"/>
    <mergeCell ref="B125:D125"/>
    <mergeCell ref="B126:D126"/>
    <mergeCell ref="B127:D127"/>
    <mergeCell ref="A128:D128"/>
    <mergeCell ref="A130:C130"/>
    <mergeCell ref="A132:E132"/>
    <mergeCell ref="A134:E134"/>
    <mergeCell ref="A145:D145"/>
    <mergeCell ref="B146:D146"/>
    <mergeCell ref="B147:D147"/>
    <mergeCell ref="B148:D148"/>
    <mergeCell ref="B149:D149"/>
    <mergeCell ref="B150:D150"/>
    <mergeCell ref="A151:D151"/>
    <mergeCell ref="B152:D152"/>
    <mergeCell ref="A153:D153"/>
    <mergeCell ref="A154:D154"/>
    <mergeCell ref="A155:D155"/>
    <mergeCell ref="A156:D156"/>
    <mergeCell ref="A159:E159"/>
    <mergeCell ref="A160:D160"/>
    <mergeCell ref="A161:D161"/>
    <mergeCell ref="A169:B169"/>
    <mergeCell ref="A170:B170"/>
    <mergeCell ref="A171:B171"/>
    <mergeCell ref="A162:D162"/>
    <mergeCell ref="A163:D163"/>
    <mergeCell ref="A164:D164"/>
    <mergeCell ref="A165:D165"/>
    <mergeCell ref="A166:C166"/>
    <mergeCell ref="A167:D167"/>
  </mergeCells>
  <printOptions/>
  <pageMargins left="0.7874015748031497" right="0.7874015748031497" top="0.984251968503937" bottom="0.984251968503937" header="0.7086614173228347" footer="0.5118110236220472"/>
  <pageSetup orientation="landscape" paperSize="9" r:id="rId1"/>
  <rowBreaks count="6" manualBreakCount="6">
    <brk id="24" max="255" man="1"/>
    <brk id="46" max="255" man="1"/>
    <brk id="66" max="255" man="1"/>
    <brk id="82" max="255" man="1"/>
    <brk id="128" max="255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Normal="85" zoomScaleSheetLayoutView="100" workbookViewId="0" topLeftCell="A1">
      <selection activeCell="F14" sqref="F14"/>
    </sheetView>
  </sheetViews>
  <sheetFormatPr defaultColWidth="9.140625" defaultRowHeight="12.75"/>
  <cols>
    <col min="2" max="2" width="94.7109375" style="0" customWidth="1"/>
    <col min="3" max="3" width="20.7109375" style="0" customWidth="1"/>
    <col min="4" max="4" width="7.140625" style="0" customWidth="1"/>
    <col min="5" max="5" width="0" style="0" hidden="1" customWidth="1"/>
    <col min="6" max="6" width="12.28125" style="0" customWidth="1"/>
    <col min="7" max="7" width="16.8515625" style="0" customWidth="1"/>
    <col min="8" max="8" width="14.00390625" style="0" customWidth="1"/>
  </cols>
  <sheetData>
    <row r="1" spans="2:3" ht="15" customHeight="1">
      <c r="B1" s="677" t="s">
        <v>324</v>
      </c>
      <c r="C1" s="677"/>
    </row>
    <row r="2" spans="2:3" ht="13.5" thickBot="1">
      <c r="B2" s="9"/>
      <c r="C2" s="9"/>
    </row>
    <row r="3" spans="1:3" ht="41.25" customHeight="1" thickBot="1">
      <c r="A3" s="685" t="s">
        <v>46</v>
      </c>
      <c r="B3" s="686"/>
      <c r="C3" s="687"/>
    </row>
    <row r="4" spans="2:3" ht="12.75">
      <c r="B4" s="9"/>
      <c r="C4" s="9"/>
    </row>
    <row r="5" spans="1:5" ht="12.75" customHeight="1">
      <c r="A5" s="680" t="s">
        <v>622</v>
      </c>
      <c r="B5" s="680"/>
      <c r="C5" s="678" t="s">
        <v>1040</v>
      </c>
      <c r="D5" s="10"/>
      <c r="E5" s="5"/>
    </row>
    <row r="6" spans="1:5" ht="12.75" customHeight="1">
      <c r="A6" s="186" t="s">
        <v>613</v>
      </c>
      <c r="B6" s="183" t="s">
        <v>326</v>
      </c>
      <c r="C6" s="679"/>
      <c r="D6" s="10"/>
      <c r="E6" s="5"/>
    </row>
    <row r="7" spans="1:5" ht="15.75">
      <c r="A7" s="681" t="s">
        <v>626</v>
      </c>
      <c r="B7" s="179" t="s">
        <v>327</v>
      </c>
      <c r="C7" s="442">
        <v>2600.3025</v>
      </c>
      <c r="E7" s="12">
        <f>C7</f>
        <v>2600.3025</v>
      </c>
    </row>
    <row r="8" spans="1:5" ht="15.75">
      <c r="A8" s="681"/>
      <c r="B8" s="138" t="s">
        <v>328</v>
      </c>
      <c r="C8" s="442">
        <v>2657.2325</v>
      </c>
      <c r="E8" s="13"/>
    </row>
    <row r="9" spans="1:5" ht="15.75">
      <c r="A9" s="681"/>
      <c r="B9" s="138" t="s">
        <v>329</v>
      </c>
      <c r="C9" s="442">
        <v>2657.2325</v>
      </c>
      <c r="E9" s="13"/>
    </row>
    <row r="10" spans="1:5" ht="15.75">
      <c r="A10" s="681"/>
      <c r="B10" s="138" t="s">
        <v>729</v>
      </c>
      <c r="C10" s="442">
        <v>2657.2325</v>
      </c>
      <c r="E10" s="13"/>
    </row>
    <row r="11" spans="1:5" ht="15.75">
      <c r="A11" s="682" t="s">
        <v>623</v>
      </c>
      <c r="B11" s="138" t="s">
        <v>331</v>
      </c>
      <c r="C11" s="442">
        <v>3408.693333333333</v>
      </c>
      <c r="E11" s="12">
        <f>C11</f>
        <v>3408.693333333333</v>
      </c>
    </row>
    <row r="12" spans="1:5" ht="15.75">
      <c r="A12" s="683"/>
      <c r="B12" s="138" t="s">
        <v>333</v>
      </c>
      <c r="C12" s="442">
        <v>3372.1766666666667</v>
      </c>
      <c r="E12" s="13"/>
    </row>
    <row r="13" spans="1:5" ht="16.5" customHeight="1">
      <c r="A13" s="684"/>
      <c r="B13" s="138" t="s">
        <v>735</v>
      </c>
      <c r="C13" s="442">
        <v>3372.1766666666667</v>
      </c>
      <c r="E13" s="13"/>
    </row>
    <row r="14" spans="1:6" ht="16.5" customHeight="1">
      <c r="A14" s="354" t="s">
        <v>123</v>
      </c>
      <c r="B14" s="138" t="s">
        <v>734</v>
      </c>
      <c r="C14" s="443">
        <v>2594.1725</v>
      </c>
      <c r="E14" s="13"/>
      <c r="F14" s="182"/>
    </row>
    <row r="15" spans="1:5" ht="16.5" customHeight="1">
      <c r="A15" s="354" t="s">
        <v>780</v>
      </c>
      <c r="B15" s="138" t="s">
        <v>781</v>
      </c>
      <c r="C15" s="443">
        <v>1665.11</v>
      </c>
      <c r="E15" s="13"/>
    </row>
    <row r="16" spans="1:5" ht="16.5" customHeight="1">
      <c r="A16" s="373" t="s">
        <v>624</v>
      </c>
      <c r="B16" s="138" t="s">
        <v>770</v>
      </c>
      <c r="C16" s="442">
        <v>1179.83</v>
      </c>
      <c r="E16" s="13"/>
    </row>
    <row r="17" spans="1:5" ht="16.5" customHeight="1">
      <c r="A17" s="373" t="s">
        <v>624</v>
      </c>
      <c r="B17" s="138" t="s">
        <v>762</v>
      </c>
      <c r="C17" s="443">
        <v>1222.97</v>
      </c>
      <c r="E17" s="13"/>
    </row>
    <row r="18" spans="1:5" ht="16.5" customHeight="1">
      <c r="A18" s="373" t="s">
        <v>624</v>
      </c>
      <c r="B18" s="138" t="s">
        <v>766</v>
      </c>
      <c r="C18" s="442">
        <v>1159.72</v>
      </c>
      <c r="E18" s="13"/>
    </row>
    <row r="19" spans="1:5" ht="16.5" customHeight="1">
      <c r="A19" s="373" t="s">
        <v>624</v>
      </c>
      <c r="B19" s="138" t="s">
        <v>758</v>
      </c>
      <c r="C19" s="443">
        <v>1341.59</v>
      </c>
      <c r="E19" s="13"/>
    </row>
    <row r="20" spans="1:5" ht="15.75">
      <c r="A20" s="373" t="s">
        <v>624</v>
      </c>
      <c r="B20" s="184" t="s">
        <v>760</v>
      </c>
      <c r="C20" s="442">
        <v>1288.23</v>
      </c>
      <c r="E20" s="12">
        <f>C20</f>
        <v>1288.23</v>
      </c>
    </row>
    <row r="21" spans="1:7" ht="15" customHeight="1">
      <c r="A21" s="185"/>
      <c r="B21" s="372" t="s">
        <v>1023</v>
      </c>
      <c r="C21" s="14">
        <f>SUM(C7:C20)</f>
        <v>31176.669166666667</v>
      </c>
      <c r="D21" s="10"/>
      <c r="E21" s="5"/>
      <c r="G21" s="7"/>
    </row>
    <row r="22" spans="1:5" ht="15" customHeight="1">
      <c r="A22" s="185"/>
      <c r="B22" s="372" t="s">
        <v>335</v>
      </c>
      <c r="C22" s="14">
        <f>C21*4</f>
        <v>124706.67666666667</v>
      </c>
      <c r="D22" s="10"/>
      <c r="E22" s="5"/>
    </row>
    <row r="23" spans="2:3" ht="12.75">
      <c r="B23" s="9"/>
      <c r="C23" s="9"/>
    </row>
    <row r="24" spans="1:8" ht="12.75">
      <c r="A24" s="23" t="s">
        <v>336</v>
      </c>
      <c r="C24" s="16"/>
      <c r="D24" s="17"/>
      <c r="E24" s="18"/>
      <c r="F24" s="18"/>
      <c r="G24" s="18"/>
      <c r="H24" s="18"/>
    </row>
    <row r="25" spans="1:8" ht="38.25" customHeight="1">
      <c r="A25" s="675" t="s">
        <v>337</v>
      </c>
      <c r="B25" s="675"/>
      <c r="C25" s="675"/>
      <c r="D25" s="16"/>
      <c r="E25" s="16"/>
      <c r="F25" s="18"/>
      <c r="G25" s="18"/>
      <c r="H25" s="18"/>
    </row>
    <row r="26" spans="2:8" ht="9" customHeight="1">
      <c r="B26" s="9"/>
      <c r="C26" s="16"/>
      <c r="D26" s="18"/>
      <c r="E26" s="18"/>
      <c r="F26" s="18"/>
      <c r="G26" s="18"/>
      <c r="H26" s="18"/>
    </row>
    <row r="27" spans="1:8" ht="26.25" customHeight="1">
      <c r="A27" s="675" t="s">
        <v>1041</v>
      </c>
      <c r="B27" s="675"/>
      <c r="C27" s="675"/>
      <c r="D27" s="20"/>
      <c r="E27" s="20"/>
      <c r="F27" s="18"/>
      <c r="G27" s="18"/>
      <c r="H27" s="18"/>
    </row>
    <row r="28" spans="2:8" ht="8.25" customHeight="1">
      <c r="B28" s="9"/>
      <c r="C28" s="21"/>
      <c r="D28" s="18"/>
      <c r="E28" s="18"/>
      <c r="F28" s="18"/>
      <c r="G28" s="18"/>
      <c r="H28" s="18"/>
    </row>
    <row r="29" spans="1:8" ht="27" customHeight="1">
      <c r="A29" s="675" t="s">
        <v>338</v>
      </c>
      <c r="B29" s="675"/>
      <c r="C29" s="675"/>
      <c r="D29" s="16"/>
      <c r="E29" s="16"/>
      <c r="F29" s="18"/>
      <c r="G29" s="18"/>
      <c r="H29" s="18"/>
    </row>
    <row r="30" spans="2:8" ht="12.75" customHeight="1">
      <c r="B30" s="466" t="s">
        <v>782</v>
      </c>
      <c r="C30" s="9"/>
      <c r="D30" s="18"/>
      <c r="E30" s="18"/>
      <c r="F30" s="18"/>
      <c r="G30" s="18"/>
      <c r="H30" s="18"/>
    </row>
    <row r="31" spans="2:8" ht="12.75" customHeight="1">
      <c r="B31" s="466" t="s">
        <v>339</v>
      </c>
      <c r="C31" s="15"/>
      <c r="D31" s="18"/>
      <c r="E31" s="18"/>
      <c r="F31" s="18"/>
      <c r="G31" s="18"/>
      <c r="H31" s="18"/>
    </row>
    <row r="32" spans="2:8" ht="12.75" customHeight="1">
      <c r="B32" s="466" t="s">
        <v>625</v>
      </c>
      <c r="C32" s="22"/>
      <c r="D32" s="18"/>
      <c r="E32" s="18"/>
      <c r="F32" s="18"/>
      <c r="G32" s="18"/>
      <c r="H32" s="18"/>
    </row>
    <row r="33" spans="2:8" ht="12.75">
      <c r="B33" s="466" t="s">
        <v>783</v>
      </c>
      <c r="C33" s="23"/>
      <c r="D33" s="18"/>
      <c r="E33" s="18"/>
      <c r="F33" s="18"/>
      <c r="G33" s="18"/>
      <c r="H33" s="18"/>
    </row>
    <row r="34" spans="2:8" ht="7.5" customHeight="1">
      <c r="B34" s="466"/>
      <c r="C34" s="23"/>
      <c r="D34" s="18"/>
      <c r="E34" s="18"/>
      <c r="F34" s="18"/>
      <c r="G34" s="18"/>
      <c r="H34" s="18"/>
    </row>
    <row r="35" spans="1:8" ht="12.75">
      <c r="A35" s="675" t="s">
        <v>1054</v>
      </c>
      <c r="B35" s="675"/>
      <c r="C35" s="675"/>
      <c r="D35" s="16"/>
      <c r="E35" s="16"/>
      <c r="F35" s="18"/>
      <c r="G35" s="18"/>
      <c r="H35" s="18"/>
    </row>
    <row r="36" spans="2:8" ht="6.75" customHeight="1">
      <c r="B36" s="16"/>
      <c r="C36" s="23"/>
      <c r="D36" s="18"/>
      <c r="E36" s="18"/>
      <c r="F36" s="18"/>
      <c r="G36" s="18"/>
      <c r="H36" s="18"/>
    </row>
    <row r="37" spans="1:8" ht="12.75" customHeight="1">
      <c r="A37" s="675" t="s">
        <v>63</v>
      </c>
      <c r="B37" s="675"/>
      <c r="C37" s="675"/>
      <c r="D37" s="18"/>
      <c r="E37" s="18"/>
      <c r="F37" s="18"/>
      <c r="G37" s="18"/>
      <c r="H37" s="18"/>
    </row>
    <row r="38" spans="2:8" ht="6" customHeight="1">
      <c r="B38" s="21"/>
      <c r="C38" s="24"/>
      <c r="D38" s="16"/>
      <c r="E38" s="16"/>
      <c r="F38" s="18"/>
      <c r="G38" s="18"/>
      <c r="H38" s="18"/>
    </row>
    <row r="39" spans="1:8" ht="25.5" customHeight="1">
      <c r="A39" s="675" t="s">
        <v>1025</v>
      </c>
      <c r="B39" s="675"/>
      <c r="C39" s="675"/>
      <c r="D39" s="16"/>
      <c r="E39" s="16"/>
      <c r="F39" s="18"/>
      <c r="G39" s="18"/>
      <c r="H39" s="18"/>
    </row>
    <row r="40" spans="2:8" ht="7.5" customHeight="1">
      <c r="B40" s="16"/>
      <c r="C40" s="10"/>
      <c r="D40" s="21"/>
      <c r="E40" s="21"/>
      <c r="F40" s="18"/>
      <c r="G40" s="18"/>
      <c r="H40" s="18"/>
    </row>
    <row r="41" spans="1:3" ht="12.75">
      <c r="A41" s="676" t="s">
        <v>884</v>
      </c>
      <c r="B41" s="676"/>
      <c r="C41" s="676"/>
    </row>
    <row r="42" ht="12.75" customHeight="1"/>
  </sheetData>
  <sheetProtection selectLockedCells="1" selectUnlockedCells="1"/>
  <mergeCells count="13">
    <mergeCell ref="B1:C1"/>
    <mergeCell ref="C5:C6"/>
    <mergeCell ref="A5:B5"/>
    <mergeCell ref="A7:A10"/>
    <mergeCell ref="A11:A13"/>
    <mergeCell ref="A3:C3"/>
    <mergeCell ref="A39:C39"/>
    <mergeCell ref="A41:C41"/>
    <mergeCell ref="A25:C25"/>
    <mergeCell ref="A27:C27"/>
    <mergeCell ref="A29:C29"/>
    <mergeCell ref="A35:C35"/>
    <mergeCell ref="A37:C37"/>
  </mergeCells>
  <printOptions horizontalCentered="1"/>
  <pageMargins left="0.7" right="0.7" top="0.75" bottom="0.75" header="0.3" footer="0.3"/>
  <pageSetup fitToHeight="1" fitToWidth="1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26.28125" style="0" customWidth="1"/>
    <col min="2" max="3" width="9.28125" style="0" customWidth="1"/>
    <col min="4" max="4" width="14.00390625" style="0" bestFit="1" customWidth="1"/>
    <col min="5" max="5" width="11.7109375" style="0" bestFit="1" customWidth="1"/>
    <col min="6" max="6" width="16.28125" style="0" customWidth="1"/>
    <col min="7" max="7" width="19.28125" style="0" customWidth="1"/>
    <col min="8" max="8" width="7.28125" style="0" bestFit="1" customWidth="1"/>
    <col min="9" max="9" width="19.8515625" style="0" customWidth="1"/>
    <col min="11" max="11" width="10.57421875" style="0" bestFit="1" customWidth="1"/>
  </cols>
  <sheetData>
    <row r="1" spans="1:9" ht="15.75">
      <c r="A1" s="677" t="s">
        <v>345</v>
      </c>
      <c r="B1" s="677"/>
      <c r="C1" s="677"/>
      <c r="D1" s="677"/>
      <c r="E1" s="677"/>
      <c r="F1" s="677"/>
      <c r="G1" s="677"/>
      <c r="H1" s="677"/>
      <c r="I1" s="677"/>
    </row>
    <row r="2" ht="13.5" thickBot="1"/>
    <row r="3" spans="1:5" ht="28.5" customHeight="1" thickBot="1">
      <c r="A3" s="688" t="s">
        <v>1045</v>
      </c>
      <c r="B3" s="689"/>
      <c r="C3" s="689"/>
      <c r="D3" s="689"/>
      <c r="E3" s="690"/>
    </row>
    <row r="4" spans="1:8" ht="26.25" customHeight="1" thickBot="1">
      <c r="A4" s="688" t="s">
        <v>346</v>
      </c>
      <c r="B4" s="689"/>
      <c r="C4" s="689"/>
      <c r="D4" s="688" t="s">
        <v>1039</v>
      </c>
      <c r="E4" s="690"/>
      <c r="H4" s="32"/>
    </row>
    <row r="5" spans="1:8" ht="16.5" customHeight="1" thickBot="1">
      <c r="A5" s="688" t="s">
        <v>1052</v>
      </c>
      <c r="B5" s="689"/>
      <c r="C5" s="689"/>
      <c r="D5" s="689"/>
      <c r="E5" s="690"/>
      <c r="H5" s="32"/>
    </row>
    <row r="6" spans="1:3" ht="6" customHeight="1" thickBot="1">
      <c r="A6" s="698"/>
      <c r="B6" s="699"/>
      <c r="C6" s="467"/>
    </row>
    <row r="7" spans="1:6" ht="12.75">
      <c r="A7" s="694" t="s">
        <v>1049</v>
      </c>
      <c r="B7" s="695"/>
      <c r="C7" s="695"/>
      <c r="D7" s="701">
        <v>411.86</v>
      </c>
      <c r="E7" s="702"/>
      <c r="F7" s="182"/>
    </row>
    <row r="8" spans="1:5" ht="13.5" thickBot="1">
      <c r="A8" s="696" t="s">
        <v>1050</v>
      </c>
      <c r="B8" s="697"/>
      <c r="C8" s="697"/>
      <c r="D8" s="703">
        <v>355.22</v>
      </c>
      <c r="E8" s="704"/>
    </row>
    <row r="9" spans="1:3" ht="6.75" customHeight="1" thickBot="1">
      <c r="A9" s="467"/>
      <c r="B9" s="467"/>
      <c r="C9" s="467"/>
    </row>
    <row r="10" spans="1:5" ht="20.25" customHeight="1" thickBot="1">
      <c r="A10" s="691" t="s">
        <v>1053</v>
      </c>
      <c r="B10" s="692"/>
      <c r="C10" s="692"/>
      <c r="D10" s="692"/>
      <c r="E10" s="693"/>
    </row>
    <row r="11" spans="1:5" ht="12.75">
      <c r="A11" s="694" t="s">
        <v>1051</v>
      </c>
      <c r="B11" s="695"/>
      <c r="C11" s="695"/>
      <c r="D11" s="701">
        <v>242.53</v>
      </c>
      <c r="E11" s="702"/>
    </row>
    <row r="12" spans="1:5" ht="13.5" thickBot="1">
      <c r="A12" s="696" t="s">
        <v>1050</v>
      </c>
      <c r="B12" s="697"/>
      <c r="C12" s="697"/>
      <c r="D12" s="703">
        <v>185.89</v>
      </c>
      <c r="E12" s="704"/>
    </row>
    <row r="13" spans="1:5" ht="8.25" customHeight="1">
      <c r="A13" s="374"/>
      <c r="B13" s="20"/>
      <c r="C13" s="33"/>
      <c r="D13" s="34"/>
      <c r="E13" s="33"/>
    </row>
    <row r="14" spans="1:9" ht="51">
      <c r="A14" s="172" t="s">
        <v>326</v>
      </c>
      <c r="B14" s="175" t="s">
        <v>195</v>
      </c>
      <c r="C14" s="176" t="s">
        <v>344</v>
      </c>
      <c r="D14" s="176" t="s">
        <v>1048</v>
      </c>
      <c r="E14" s="176" t="s">
        <v>790</v>
      </c>
      <c r="F14" s="176" t="s">
        <v>1046</v>
      </c>
      <c r="G14" s="176" t="s">
        <v>1047</v>
      </c>
      <c r="H14" s="176" t="s">
        <v>789</v>
      </c>
      <c r="I14" s="176" t="s">
        <v>787</v>
      </c>
    </row>
    <row r="15" spans="1:11" ht="15.75">
      <c r="A15" s="177" t="s">
        <v>772</v>
      </c>
      <c r="B15" s="178" t="s">
        <v>196</v>
      </c>
      <c r="C15" s="370">
        <f>'A2) BDI'!L18</f>
        <v>0.2653444024236744</v>
      </c>
      <c r="D15" s="377">
        <v>189.95</v>
      </c>
      <c r="E15" s="376">
        <v>4</v>
      </c>
      <c r="F15" s="377">
        <f aca="true" t="shared" si="0" ref="F15:F22">$D$7*(1+C15)</f>
        <v>521.1447455822146</v>
      </c>
      <c r="G15" s="377">
        <f aca="true" t="shared" si="1" ref="G15:G22">$D$8*(1+C15)</f>
        <v>449.47563862893765</v>
      </c>
      <c r="H15" s="376">
        <f>E15*3</f>
        <v>12</v>
      </c>
      <c r="I15" s="375">
        <f aca="true" t="shared" si="2" ref="I15:I28">(E15*D15+H15*(F15+G15))</f>
        <v>12407.244610533826</v>
      </c>
      <c r="J15" s="182"/>
      <c r="K15" s="182"/>
    </row>
    <row r="16" spans="1:11" ht="15.75">
      <c r="A16" s="180" t="s">
        <v>764</v>
      </c>
      <c r="B16" s="6" t="s">
        <v>196</v>
      </c>
      <c r="C16" s="371">
        <f>'A2) BDI'!D18</f>
        <v>0.293047618678161</v>
      </c>
      <c r="D16" s="377">
        <v>375.64</v>
      </c>
      <c r="E16" s="376">
        <v>4</v>
      </c>
      <c r="F16" s="377">
        <f t="shared" si="0"/>
        <v>532.5545922287874</v>
      </c>
      <c r="G16" s="377">
        <f t="shared" si="1"/>
        <v>459.31637510685636</v>
      </c>
      <c r="H16" s="376">
        <f aca="true" t="shared" si="3" ref="H16:H22">E16*3</f>
        <v>12</v>
      </c>
      <c r="I16" s="375">
        <f t="shared" si="2"/>
        <v>13405.011608027726</v>
      </c>
      <c r="J16" s="182"/>
      <c r="K16" s="7"/>
    </row>
    <row r="17" spans="1:10" ht="15.75">
      <c r="A17" s="180" t="s">
        <v>784</v>
      </c>
      <c r="B17" s="6" t="s">
        <v>196</v>
      </c>
      <c r="C17" s="371">
        <f>'A2) BDI'!D18</f>
        <v>0.293047618678161</v>
      </c>
      <c r="D17" s="377">
        <v>310.94</v>
      </c>
      <c r="E17" s="376">
        <v>4</v>
      </c>
      <c r="F17" s="377">
        <f t="shared" si="0"/>
        <v>532.5545922287874</v>
      </c>
      <c r="G17" s="377">
        <f t="shared" si="1"/>
        <v>459.31637510685636</v>
      </c>
      <c r="H17" s="376">
        <f t="shared" si="3"/>
        <v>12</v>
      </c>
      <c r="I17" s="375">
        <f t="shared" si="2"/>
        <v>13146.211608027726</v>
      </c>
      <c r="J17" s="182"/>
    </row>
    <row r="18" spans="1:10" ht="15.75">
      <c r="A18" s="180" t="s">
        <v>774</v>
      </c>
      <c r="B18" s="6" t="s">
        <v>196</v>
      </c>
      <c r="C18" s="371">
        <f>'A2) BDI'!D18</f>
        <v>0.293047618678161</v>
      </c>
      <c r="D18" s="377">
        <v>276.79</v>
      </c>
      <c r="E18" s="376">
        <v>4</v>
      </c>
      <c r="F18" s="377">
        <f t="shared" si="0"/>
        <v>532.5545922287874</v>
      </c>
      <c r="G18" s="377">
        <f t="shared" si="1"/>
        <v>459.31637510685636</v>
      </c>
      <c r="H18" s="376">
        <f t="shared" si="3"/>
        <v>12</v>
      </c>
      <c r="I18" s="375">
        <f t="shared" si="2"/>
        <v>13009.611608027726</v>
      </c>
      <c r="J18" s="182"/>
    </row>
    <row r="19" spans="1:10" ht="15.75">
      <c r="A19" s="180" t="s">
        <v>768</v>
      </c>
      <c r="B19" s="6" t="s">
        <v>123</v>
      </c>
      <c r="C19" s="371">
        <f>'A2) BDI'!H18</f>
        <v>0.27904602020844615</v>
      </c>
      <c r="D19" s="377">
        <v>627.59</v>
      </c>
      <c r="E19" s="376">
        <v>4</v>
      </c>
      <c r="F19" s="377">
        <f t="shared" si="0"/>
        <v>526.7878938830506</v>
      </c>
      <c r="G19" s="377">
        <f t="shared" si="1"/>
        <v>454.3427272984443</v>
      </c>
      <c r="H19" s="376">
        <f t="shared" si="3"/>
        <v>12</v>
      </c>
      <c r="I19" s="375">
        <f t="shared" si="2"/>
        <v>14283.92745417794</v>
      </c>
      <c r="J19" s="182"/>
    </row>
    <row r="20" spans="1:10" ht="15.75">
      <c r="A20" s="180" t="s">
        <v>785</v>
      </c>
      <c r="B20" s="6" t="s">
        <v>123</v>
      </c>
      <c r="C20" s="371">
        <f>'A2) BDI'!L18</f>
        <v>0.2653444024236744</v>
      </c>
      <c r="D20" s="377">
        <v>559.31</v>
      </c>
      <c r="E20" s="376">
        <v>4</v>
      </c>
      <c r="F20" s="377">
        <f t="shared" si="0"/>
        <v>521.1447455822146</v>
      </c>
      <c r="G20" s="377">
        <f t="shared" si="1"/>
        <v>449.47563862893765</v>
      </c>
      <c r="H20" s="376">
        <f t="shared" si="3"/>
        <v>12</v>
      </c>
      <c r="I20" s="375">
        <f t="shared" si="2"/>
        <v>13884.684610533826</v>
      </c>
      <c r="J20" s="182"/>
    </row>
    <row r="21" spans="1:10" ht="15.75">
      <c r="A21" s="180" t="s">
        <v>786</v>
      </c>
      <c r="B21" s="6" t="s">
        <v>123</v>
      </c>
      <c r="C21" s="371">
        <f>'A2) BDI'!L18</f>
        <v>0.2653444024236744</v>
      </c>
      <c r="D21" s="377">
        <v>408.05</v>
      </c>
      <c r="E21" s="376">
        <v>6</v>
      </c>
      <c r="F21" s="377">
        <f t="shared" si="0"/>
        <v>521.1447455822146</v>
      </c>
      <c r="G21" s="377">
        <f t="shared" si="1"/>
        <v>449.47563862893765</v>
      </c>
      <c r="H21" s="376">
        <f t="shared" si="3"/>
        <v>18</v>
      </c>
      <c r="I21" s="375">
        <f t="shared" si="2"/>
        <v>19919.46691580074</v>
      </c>
      <c r="J21" s="182"/>
    </row>
    <row r="22" spans="1:10" ht="31.5">
      <c r="A22" s="180" t="s">
        <v>751</v>
      </c>
      <c r="B22" s="6" t="s">
        <v>797</v>
      </c>
      <c r="C22" s="371">
        <f>'A2) BDI'!D18</f>
        <v>0.293047618678161</v>
      </c>
      <c r="D22" s="377">
        <v>278.59</v>
      </c>
      <c r="E22" s="376">
        <v>4</v>
      </c>
      <c r="F22" s="377">
        <f t="shared" si="0"/>
        <v>532.5545922287874</v>
      </c>
      <c r="G22" s="377">
        <f t="shared" si="1"/>
        <v>459.31637510685636</v>
      </c>
      <c r="H22" s="376">
        <f t="shared" si="3"/>
        <v>12</v>
      </c>
      <c r="I22" s="375">
        <f t="shared" si="2"/>
        <v>13016.811608027727</v>
      </c>
      <c r="J22" s="182"/>
    </row>
    <row r="23" spans="1:10" ht="31.5">
      <c r="A23" s="180" t="s">
        <v>744</v>
      </c>
      <c r="B23" s="6" t="s">
        <v>797</v>
      </c>
      <c r="C23" s="371">
        <f>'A2) BDI'!P18</f>
        <v>0.2519332269872814</v>
      </c>
      <c r="D23" s="377">
        <v>34.81</v>
      </c>
      <c r="E23" s="376">
        <v>10</v>
      </c>
      <c r="F23" s="377">
        <f aca="true" t="shared" si="4" ref="F23:F28">$D$11*(1+C23)</f>
        <v>303.63136554122536</v>
      </c>
      <c r="G23" s="377">
        <f aca="true" t="shared" si="5" ref="G23:G28">$D$12*(1+C23)</f>
        <v>232.72186756466573</v>
      </c>
      <c r="H23" s="376">
        <f>E23*3</f>
        <v>30</v>
      </c>
      <c r="I23" s="375">
        <f t="shared" si="2"/>
        <v>16438.696993176734</v>
      </c>
      <c r="J23" s="182"/>
    </row>
    <row r="24" spans="1:10" ht="15.75">
      <c r="A24" s="180" t="s">
        <v>770</v>
      </c>
      <c r="B24" s="143" t="s">
        <v>197</v>
      </c>
      <c r="C24" s="371">
        <f>'A2) BDI'!D18</f>
        <v>0.293047618678161</v>
      </c>
      <c r="D24" s="377">
        <v>35.95</v>
      </c>
      <c r="E24" s="376">
        <v>30</v>
      </c>
      <c r="F24" s="377">
        <f t="shared" si="4"/>
        <v>313.6028389580144</v>
      </c>
      <c r="G24" s="377">
        <f t="shared" si="5"/>
        <v>240.36462183608333</v>
      </c>
      <c r="H24" s="376">
        <v>30</v>
      </c>
      <c r="I24" s="375">
        <f t="shared" si="2"/>
        <v>17697.523823822932</v>
      </c>
      <c r="J24" s="182"/>
    </row>
    <row r="25" spans="1:10" ht="15.75">
      <c r="A25" s="180" t="s">
        <v>762</v>
      </c>
      <c r="B25" s="143" t="s">
        <v>197</v>
      </c>
      <c r="C25" s="371">
        <f>'A2) BDI'!D18</f>
        <v>0.293047618678161</v>
      </c>
      <c r="D25" s="377">
        <v>57.51</v>
      </c>
      <c r="E25" s="376">
        <v>30</v>
      </c>
      <c r="F25" s="377">
        <f t="shared" si="4"/>
        <v>313.6028389580144</v>
      </c>
      <c r="G25" s="377">
        <f t="shared" si="5"/>
        <v>240.36462183608333</v>
      </c>
      <c r="H25" s="376">
        <v>30</v>
      </c>
      <c r="I25" s="375">
        <f t="shared" si="2"/>
        <v>18344.32382382293</v>
      </c>
      <c r="J25" s="182"/>
    </row>
    <row r="26" spans="1:10" ht="15.75">
      <c r="A26" s="180" t="s">
        <v>766</v>
      </c>
      <c r="B26" s="143" t="s">
        <v>197</v>
      </c>
      <c r="C26" s="371">
        <f>'A2) BDI'!P18</f>
        <v>0.2519332269872814</v>
      </c>
      <c r="D26" s="377">
        <v>43.5</v>
      </c>
      <c r="E26" s="376">
        <v>10</v>
      </c>
      <c r="F26" s="377">
        <f t="shared" si="4"/>
        <v>303.63136554122536</v>
      </c>
      <c r="G26" s="377">
        <f t="shared" si="5"/>
        <v>232.72186756466573</v>
      </c>
      <c r="H26" s="376">
        <v>10</v>
      </c>
      <c r="I26" s="375">
        <f t="shared" si="2"/>
        <v>5798.532331058912</v>
      </c>
      <c r="J26" s="182"/>
    </row>
    <row r="27" spans="1:10" ht="31.5">
      <c r="A27" s="180" t="s">
        <v>758</v>
      </c>
      <c r="B27" s="143" t="s">
        <v>197</v>
      </c>
      <c r="C27" s="371">
        <f>'A2) BDI'!D18</f>
        <v>0.293047618678161</v>
      </c>
      <c r="D27" s="377">
        <v>116.83</v>
      </c>
      <c r="E27" s="376">
        <v>10</v>
      </c>
      <c r="F27" s="377">
        <f t="shared" si="4"/>
        <v>313.6028389580144</v>
      </c>
      <c r="G27" s="377">
        <f t="shared" si="5"/>
        <v>240.36462183608333</v>
      </c>
      <c r="H27" s="376">
        <v>10</v>
      </c>
      <c r="I27" s="375">
        <f t="shared" si="2"/>
        <v>6707.974607940978</v>
      </c>
      <c r="J27" s="182"/>
    </row>
    <row r="28" spans="1:10" ht="16.5" thickBot="1">
      <c r="A28" s="450" t="s">
        <v>760</v>
      </c>
      <c r="B28" s="451" t="s">
        <v>197</v>
      </c>
      <c r="C28" s="452">
        <f>'A2) BDI'!L18</f>
        <v>0.2653444024236744</v>
      </c>
      <c r="D28" s="453">
        <v>102.01</v>
      </c>
      <c r="E28" s="454">
        <v>10</v>
      </c>
      <c r="F28" s="377">
        <f t="shared" si="4"/>
        <v>306.88397791981373</v>
      </c>
      <c r="G28" s="377">
        <f t="shared" si="5"/>
        <v>235.2148709665368</v>
      </c>
      <c r="H28" s="454">
        <v>10</v>
      </c>
      <c r="I28" s="455">
        <f t="shared" si="2"/>
        <v>6441.0884888635055</v>
      </c>
      <c r="J28" s="182"/>
    </row>
    <row r="29" spans="1:11" ht="13.5" thickBot="1">
      <c r="A29" s="456" t="s">
        <v>788</v>
      </c>
      <c r="B29" s="457"/>
      <c r="C29" s="458"/>
      <c r="D29" s="459"/>
      <c r="E29" s="458"/>
      <c r="F29" s="460"/>
      <c r="G29" s="460"/>
      <c r="H29" s="460"/>
      <c r="I29" s="461">
        <f>SUM(I15:I28)</f>
        <v>184501.1100918432</v>
      </c>
      <c r="K29" s="182"/>
    </row>
    <row r="30" spans="1:11" ht="15" customHeight="1">
      <c r="A30" s="700" t="s">
        <v>1043</v>
      </c>
      <c r="B30" s="700"/>
      <c r="C30" s="700"/>
      <c r="D30" s="700"/>
      <c r="E30" s="700"/>
      <c r="K30" s="182"/>
    </row>
    <row r="31" spans="1:5" ht="12.75">
      <c r="A31" s="465"/>
      <c r="B31" s="465"/>
      <c r="C31" s="465"/>
      <c r="D31" s="465"/>
      <c r="E31" s="465"/>
    </row>
    <row r="32" spans="1:5" ht="12.75">
      <c r="A32" s="465" t="s">
        <v>1044</v>
      </c>
      <c r="B32" s="465"/>
      <c r="C32" s="465"/>
      <c r="D32" s="465"/>
      <c r="E32" s="465"/>
    </row>
    <row r="34" ht="12.75">
      <c r="A34" s="35" t="s">
        <v>347</v>
      </c>
    </row>
  </sheetData>
  <sheetProtection selectLockedCells="1" selectUnlockedCells="1"/>
  <mergeCells count="16">
    <mergeCell ref="A11:C11"/>
    <mergeCell ref="A12:C12"/>
    <mergeCell ref="A1:I1"/>
    <mergeCell ref="A6:B6"/>
    <mergeCell ref="A30:E30"/>
    <mergeCell ref="D7:E7"/>
    <mergeCell ref="D8:E8"/>
    <mergeCell ref="D11:E11"/>
    <mergeCell ref="D12:E12"/>
    <mergeCell ref="D4:E4"/>
    <mergeCell ref="A5:E5"/>
    <mergeCell ref="A10:E10"/>
    <mergeCell ref="A4:C4"/>
    <mergeCell ref="A3:E3"/>
    <mergeCell ref="A7:C7"/>
    <mergeCell ref="A8:C8"/>
  </mergeCells>
  <printOptions horizontalCentered="1" verticalCentered="1"/>
  <pageMargins left="0.25" right="0.25" top="0.75" bottom="0.75" header="0.3" footer="0.3"/>
  <pageSetup fitToHeight="1" fitToWidth="1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0"/>
  <sheetViews>
    <sheetView view="pageBreakPreview" zoomScale="85" zoomScaleNormal="85" zoomScaleSheetLayoutView="85" workbookViewId="0" topLeftCell="A1">
      <selection activeCell="L50" sqref="L50"/>
    </sheetView>
  </sheetViews>
  <sheetFormatPr defaultColWidth="9.140625" defaultRowHeight="12.75"/>
  <cols>
    <col min="1" max="1" width="27.7109375" style="0" customWidth="1"/>
    <col min="2" max="2" width="27.28125" style="0" customWidth="1"/>
    <col min="3" max="3" width="12.28125" style="32" customWidth="1"/>
    <col min="4" max="4" width="12.421875" style="32" bestFit="1" customWidth="1"/>
    <col min="5" max="5" width="6.8515625" style="0" customWidth="1"/>
    <col min="6" max="6" width="16.00390625" style="250" customWidth="1"/>
    <col min="7" max="7" width="16.7109375" style="0" customWidth="1"/>
    <col min="8" max="8" width="11.421875" style="0" customWidth="1"/>
    <col min="9" max="9" width="21.140625" style="0" bestFit="1" customWidth="1"/>
    <col min="10" max="10" width="13.421875" style="250" bestFit="1" customWidth="1"/>
    <col min="11" max="11" width="17.7109375" style="0" customWidth="1"/>
    <col min="12" max="12" width="15.7109375" style="36" customWidth="1"/>
    <col min="13" max="13" width="12.00390625" style="0" customWidth="1"/>
  </cols>
  <sheetData>
    <row r="1" spans="1:9" ht="12.75" customHeight="1">
      <c r="A1" s="677" t="s">
        <v>1073</v>
      </c>
      <c r="B1" s="677"/>
      <c r="C1" s="677"/>
      <c r="D1" s="677"/>
      <c r="E1" s="677"/>
      <c r="F1" s="677"/>
      <c r="G1" s="677"/>
      <c r="H1" s="677"/>
      <c r="I1" s="677"/>
    </row>
    <row r="2" ht="16.5" thickBot="1"/>
    <row r="3" spans="1:9" ht="15.75">
      <c r="A3" s="37"/>
      <c r="B3" s="38"/>
      <c r="C3" s="163"/>
      <c r="D3" s="163"/>
      <c r="E3" s="39"/>
      <c r="F3" s="40"/>
      <c r="G3" s="41"/>
      <c r="H3" s="41"/>
      <c r="I3" s="41"/>
    </row>
    <row r="4" spans="1:9" ht="15" customHeight="1">
      <c r="A4" s="713" t="s">
        <v>348</v>
      </c>
      <c r="B4" s="713"/>
      <c r="C4" s="713"/>
      <c r="D4" s="713"/>
      <c r="E4" s="713"/>
      <c r="F4" s="713"/>
      <c r="G4" s="713"/>
      <c r="H4" s="713"/>
      <c r="I4" s="713"/>
    </row>
    <row r="5" spans="1:11" ht="39.75" thickBot="1">
      <c r="A5" s="42" t="s">
        <v>43</v>
      </c>
      <c r="B5" s="43" t="s">
        <v>350</v>
      </c>
      <c r="C5" s="164" t="s">
        <v>142</v>
      </c>
      <c r="D5" s="164" t="s">
        <v>143</v>
      </c>
      <c r="E5" s="44" t="s">
        <v>262</v>
      </c>
      <c r="F5" s="384" t="s">
        <v>351</v>
      </c>
      <c r="G5" s="44" t="s">
        <v>352</v>
      </c>
      <c r="H5" s="44" t="s">
        <v>353</v>
      </c>
      <c r="I5" s="45" t="s">
        <v>354</v>
      </c>
      <c r="J5" s="252"/>
      <c r="K5" s="253"/>
    </row>
    <row r="6" spans="1:9" ht="16.5" thickBot="1">
      <c r="A6" s="711" t="s">
        <v>665</v>
      </c>
      <c r="B6" s="711"/>
      <c r="C6" s="711"/>
      <c r="D6" s="711"/>
      <c r="E6" s="711"/>
      <c r="F6" s="711"/>
      <c r="G6" s="711"/>
      <c r="H6" s="711"/>
      <c r="I6" s="711"/>
    </row>
    <row r="7" spans="1:13" ht="39">
      <c r="A7" s="46"/>
      <c r="B7" s="47" t="s">
        <v>355</v>
      </c>
      <c r="C7" s="165" t="s">
        <v>144</v>
      </c>
      <c r="D7" s="165" t="s">
        <v>145</v>
      </c>
      <c r="E7" s="55" t="s">
        <v>356</v>
      </c>
      <c r="F7" s="502">
        <v>146.07</v>
      </c>
      <c r="G7" s="48">
        <f aca="true" t="shared" si="0" ref="G7:G38">ROUND(F7*(1+$G$320),2)</f>
        <v>174.7</v>
      </c>
      <c r="H7" s="49">
        <v>0.08333333333333333</v>
      </c>
      <c r="I7" s="50">
        <f aca="true" t="shared" si="1" ref="I7:I48">ROUND(G7*H7,2)</f>
        <v>14.56</v>
      </c>
      <c r="K7" s="181"/>
      <c r="L7" s="249"/>
      <c r="M7" s="51"/>
    </row>
    <row r="8" spans="1:13" ht="39">
      <c r="A8" s="53"/>
      <c r="B8" s="54" t="s">
        <v>357</v>
      </c>
      <c r="C8" s="166" t="s">
        <v>144</v>
      </c>
      <c r="D8" s="166" t="s">
        <v>146</v>
      </c>
      <c r="E8" s="55" t="s">
        <v>356</v>
      </c>
      <c r="F8" s="502">
        <v>116.9</v>
      </c>
      <c r="G8" s="48">
        <f t="shared" si="0"/>
        <v>139.81</v>
      </c>
      <c r="H8" s="56">
        <v>0.08333333333333333</v>
      </c>
      <c r="I8" s="57">
        <f t="shared" si="1"/>
        <v>11.65</v>
      </c>
      <c r="K8" s="181"/>
      <c r="L8" s="249"/>
      <c r="M8" s="51"/>
    </row>
    <row r="9" spans="1:13" ht="26.25">
      <c r="A9" s="53" t="s">
        <v>359</v>
      </c>
      <c r="B9" s="54" t="s">
        <v>360</v>
      </c>
      <c r="C9" s="166" t="s">
        <v>144</v>
      </c>
      <c r="D9" s="166" t="s">
        <v>148</v>
      </c>
      <c r="E9" s="55" t="s">
        <v>356</v>
      </c>
      <c r="F9" s="502">
        <v>29.68</v>
      </c>
      <c r="G9" s="48">
        <f t="shared" si="0"/>
        <v>35.5</v>
      </c>
      <c r="H9" s="56">
        <v>0.16666666666666666</v>
      </c>
      <c r="I9" s="57">
        <f t="shared" si="1"/>
        <v>5.92</v>
      </c>
      <c r="K9" s="181"/>
      <c r="L9" s="249"/>
      <c r="M9" s="51"/>
    </row>
    <row r="10" spans="1:13" ht="77.25">
      <c r="A10" s="53" t="s">
        <v>29</v>
      </c>
      <c r="B10" s="54" t="s">
        <v>712</v>
      </c>
      <c r="C10" s="166" t="s">
        <v>149</v>
      </c>
      <c r="D10" s="166">
        <v>12359</v>
      </c>
      <c r="E10" s="55" t="s">
        <v>867</v>
      </c>
      <c r="F10" s="502">
        <v>130.79</v>
      </c>
      <c r="G10" s="48">
        <f t="shared" si="0"/>
        <v>156.42</v>
      </c>
      <c r="H10" s="56">
        <v>0.041666666666666664</v>
      </c>
      <c r="I10" s="57">
        <f>ROUND(G10*H10,2)</f>
        <v>6.52</v>
      </c>
      <c r="K10" s="464"/>
      <c r="L10" s="249"/>
      <c r="M10" s="51"/>
    </row>
    <row r="11" spans="1:13" ht="39">
      <c r="A11" s="53"/>
      <c r="B11" s="54" t="s">
        <v>358</v>
      </c>
      <c r="C11" s="166" t="s">
        <v>110</v>
      </c>
      <c r="D11" s="166" t="s">
        <v>45</v>
      </c>
      <c r="E11" s="55" t="s">
        <v>356</v>
      </c>
      <c r="F11" s="502">
        <v>68.9</v>
      </c>
      <c r="G11" s="48">
        <f t="shared" si="0"/>
        <v>82.4</v>
      </c>
      <c r="H11" s="56">
        <v>0.041666666666666664</v>
      </c>
      <c r="I11" s="57">
        <f>ROUND(G11*H11,2)</f>
        <v>3.43</v>
      </c>
      <c r="K11" s="181"/>
      <c r="L11" s="249"/>
      <c r="M11" s="51"/>
    </row>
    <row r="12" spans="1:13" ht="26.25">
      <c r="A12" s="54" t="s">
        <v>30</v>
      </c>
      <c r="B12" s="54" t="s">
        <v>31</v>
      </c>
      <c r="C12" s="166" t="s">
        <v>110</v>
      </c>
      <c r="D12" s="166" t="s">
        <v>44</v>
      </c>
      <c r="E12" s="55" t="s">
        <v>356</v>
      </c>
      <c r="F12" s="502">
        <v>176.86</v>
      </c>
      <c r="G12" s="48">
        <f t="shared" si="0"/>
        <v>211.52</v>
      </c>
      <c r="H12" s="56">
        <v>0.16666666666666666</v>
      </c>
      <c r="I12" s="57">
        <f>ROUND(G12*H12,2)</f>
        <v>35.25</v>
      </c>
      <c r="K12" s="181"/>
      <c r="L12" s="249"/>
      <c r="M12" s="51"/>
    </row>
    <row r="13" spans="1:13" ht="15.75">
      <c r="A13" s="53"/>
      <c r="B13" s="54" t="s">
        <v>2</v>
      </c>
      <c r="C13" s="166" t="s">
        <v>110</v>
      </c>
      <c r="D13" s="166" t="s">
        <v>3</v>
      </c>
      <c r="E13" s="55" t="s">
        <v>356</v>
      </c>
      <c r="F13" s="502">
        <v>104.14</v>
      </c>
      <c r="G13" s="48">
        <f t="shared" si="0"/>
        <v>124.55</v>
      </c>
      <c r="H13" s="56">
        <v>0.041666666666666664</v>
      </c>
      <c r="I13" s="57">
        <f>ROUND(G13*H13,2)</f>
        <v>5.19</v>
      </c>
      <c r="K13" s="181"/>
      <c r="L13" s="249"/>
      <c r="M13" s="51"/>
    </row>
    <row r="14" spans="1:13" ht="15.75">
      <c r="A14" s="53" t="s">
        <v>676</v>
      </c>
      <c r="B14" s="54" t="s">
        <v>677</v>
      </c>
      <c r="C14" s="166" t="s">
        <v>149</v>
      </c>
      <c r="D14" s="166">
        <v>12344</v>
      </c>
      <c r="E14" s="55" t="s">
        <v>356</v>
      </c>
      <c r="F14" s="502">
        <v>3.03</v>
      </c>
      <c r="G14" s="48">
        <f t="shared" si="0"/>
        <v>3.62</v>
      </c>
      <c r="H14" s="56">
        <v>3</v>
      </c>
      <c r="I14" s="57">
        <f t="shared" si="1"/>
        <v>10.86</v>
      </c>
      <c r="K14" s="464"/>
      <c r="L14" s="249"/>
      <c r="M14" s="51"/>
    </row>
    <row r="15" spans="1:13" ht="15.75">
      <c r="A15" s="53" t="s">
        <v>707</v>
      </c>
      <c r="B15" s="54" t="s">
        <v>678</v>
      </c>
      <c r="C15" s="166" t="s">
        <v>149</v>
      </c>
      <c r="D15" s="166">
        <v>12343</v>
      </c>
      <c r="E15" s="55" t="s">
        <v>356</v>
      </c>
      <c r="F15" s="502">
        <v>4.7</v>
      </c>
      <c r="G15" s="48">
        <f t="shared" si="0"/>
        <v>5.62</v>
      </c>
      <c r="H15" s="56">
        <v>3</v>
      </c>
      <c r="I15" s="57">
        <f>ROUND(G15*H15,2)</f>
        <v>16.86</v>
      </c>
      <c r="K15" s="464"/>
      <c r="L15" s="249"/>
      <c r="M15" s="51"/>
    </row>
    <row r="16" spans="1:13" ht="26.25">
      <c r="A16" s="53" t="s">
        <v>361</v>
      </c>
      <c r="B16" s="54" t="s">
        <v>362</v>
      </c>
      <c r="C16" s="166" t="s">
        <v>144</v>
      </c>
      <c r="D16" s="166" t="s">
        <v>150</v>
      </c>
      <c r="E16" s="55" t="s">
        <v>356</v>
      </c>
      <c r="F16" s="502">
        <v>21.21</v>
      </c>
      <c r="G16" s="48">
        <f t="shared" si="0"/>
        <v>25.37</v>
      </c>
      <c r="H16" s="56">
        <v>0.08333333333333333</v>
      </c>
      <c r="I16" s="57">
        <f t="shared" si="1"/>
        <v>2.11</v>
      </c>
      <c r="K16" s="181"/>
      <c r="L16" s="249"/>
      <c r="M16" s="51"/>
    </row>
    <row r="17" spans="1:13" ht="39">
      <c r="A17" s="58" t="s">
        <v>26</v>
      </c>
      <c r="B17" s="59" t="s">
        <v>363</v>
      </c>
      <c r="C17" s="167" t="s">
        <v>149</v>
      </c>
      <c r="D17" s="167">
        <v>2391</v>
      </c>
      <c r="E17" s="55" t="s">
        <v>356</v>
      </c>
      <c r="F17" s="502">
        <v>370.31</v>
      </c>
      <c r="G17" s="48">
        <f t="shared" si="0"/>
        <v>442.89</v>
      </c>
      <c r="H17" s="56">
        <v>0.08333333333333333</v>
      </c>
      <c r="I17" s="57">
        <f t="shared" si="1"/>
        <v>36.91</v>
      </c>
      <c r="K17" s="464"/>
      <c r="L17" s="249"/>
      <c r="M17" s="51"/>
    </row>
    <row r="18" spans="1:13" ht="64.5">
      <c r="A18" s="53"/>
      <c r="B18" s="54" t="s">
        <v>364</v>
      </c>
      <c r="C18" s="166" t="s">
        <v>149</v>
      </c>
      <c r="D18" s="166">
        <v>2374</v>
      </c>
      <c r="E18" s="55" t="s">
        <v>356</v>
      </c>
      <c r="F18" s="502">
        <v>420.11</v>
      </c>
      <c r="G18" s="48">
        <f t="shared" si="0"/>
        <v>502.45</v>
      </c>
      <c r="H18" s="56">
        <v>0.041666666666666664</v>
      </c>
      <c r="I18" s="57">
        <f t="shared" si="1"/>
        <v>20.94</v>
      </c>
      <c r="K18" s="464"/>
      <c r="L18" s="249"/>
      <c r="M18" s="51"/>
    </row>
    <row r="19" spans="1:13" ht="39">
      <c r="A19" s="53" t="s">
        <v>32</v>
      </c>
      <c r="B19" s="54" t="s">
        <v>365</v>
      </c>
      <c r="C19" s="166" t="s">
        <v>144</v>
      </c>
      <c r="D19" s="166" t="s">
        <v>151</v>
      </c>
      <c r="E19" s="55" t="s">
        <v>356</v>
      </c>
      <c r="F19" s="502">
        <v>185.05</v>
      </c>
      <c r="G19" s="48">
        <f t="shared" si="0"/>
        <v>221.32</v>
      </c>
      <c r="H19" s="56">
        <v>0.08333333333333333</v>
      </c>
      <c r="I19" s="57">
        <f t="shared" si="1"/>
        <v>18.44</v>
      </c>
      <c r="K19" s="181"/>
      <c r="L19" s="249"/>
      <c r="M19" s="51"/>
    </row>
    <row r="20" spans="1:13" ht="64.5">
      <c r="A20" s="53"/>
      <c r="B20" s="54" t="s">
        <v>366</v>
      </c>
      <c r="C20" s="166" t="s">
        <v>149</v>
      </c>
      <c r="D20" s="166">
        <v>2377</v>
      </c>
      <c r="E20" s="55" t="s">
        <v>356</v>
      </c>
      <c r="F20" s="502">
        <v>589.58</v>
      </c>
      <c r="G20" s="48">
        <f t="shared" si="0"/>
        <v>705.14</v>
      </c>
      <c r="H20" s="56">
        <v>0.041666666666666664</v>
      </c>
      <c r="I20" s="57">
        <f t="shared" si="1"/>
        <v>29.38</v>
      </c>
      <c r="K20" s="464"/>
      <c r="L20" s="249"/>
      <c r="M20" s="51"/>
    </row>
    <row r="21" spans="1:13" ht="51.75">
      <c r="A21" s="53"/>
      <c r="B21" s="54" t="s">
        <v>679</v>
      </c>
      <c r="C21" s="166" t="s">
        <v>149</v>
      </c>
      <c r="D21" s="166">
        <v>2393</v>
      </c>
      <c r="E21" s="55" t="s">
        <v>356</v>
      </c>
      <c r="F21" s="502">
        <v>987.32</v>
      </c>
      <c r="G21" s="48">
        <f t="shared" si="0"/>
        <v>1180.83</v>
      </c>
      <c r="H21" s="56">
        <v>0.041666666666666664</v>
      </c>
      <c r="I21" s="57">
        <f t="shared" si="1"/>
        <v>49.2</v>
      </c>
      <c r="K21" s="464"/>
      <c r="L21" s="249"/>
      <c r="M21" s="51"/>
    </row>
    <row r="22" spans="1:13" ht="51.75">
      <c r="A22" s="53"/>
      <c r="B22" s="54" t="s">
        <v>680</v>
      </c>
      <c r="C22" s="166" t="s">
        <v>149</v>
      </c>
      <c r="D22" s="166">
        <v>34707</v>
      </c>
      <c r="E22" s="55" t="s">
        <v>356</v>
      </c>
      <c r="F22" s="502">
        <v>1600.19</v>
      </c>
      <c r="G22" s="48">
        <f t="shared" si="0"/>
        <v>1913.83</v>
      </c>
      <c r="H22" s="56">
        <v>0.041666666666666664</v>
      </c>
      <c r="I22" s="57">
        <f t="shared" si="1"/>
        <v>79.74</v>
      </c>
      <c r="K22" s="464"/>
      <c r="L22" s="249"/>
      <c r="M22" s="51"/>
    </row>
    <row r="23" spans="1:13" ht="64.5">
      <c r="A23" s="53"/>
      <c r="B23" s="54" t="s">
        <v>367</v>
      </c>
      <c r="C23" s="166" t="s">
        <v>149</v>
      </c>
      <c r="D23" s="166">
        <v>2379</v>
      </c>
      <c r="E23" s="55" t="s">
        <v>356</v>
      </c>
      <c r="F23" s="502">
        <v>1356.22</v>
      </c>
      <c r="G23" s="48">
        <f t="shared" si="0"/>
        <v>1622.04</v>
      </c>
      <c r="H23" s="56">
        <v>0.041666666666666664</v>
      </c>
      <c r="I23" s="57">
        <f t="shared" si="1"/>
        <v>67.59</v>
      </c>
      <c r="K23" s="464"/>
      <c r="L23" s="249"/>
      <c r="M23" s="51"/>
    </row>
    <row r="24" spans="1:13" ht="64.5">
      <c r="A24" s="53" t="s">
        <v>33</v>
      </c>
      <c r="B24" s="54" t="s">
        <v>368</v>
      </c>
      <c r="C24" s="166" t="s">
        <v>149</v>
      </c>
      <c r="D24" s="166">
        <v>2376</v>
      </c>
      <c r="E24" s="55" t="s">
        <v>356</v>
      </c>
      <c r="F24" s="502">
        <v>2233.69</v>
      </c>
      <c r="G24" s="48">
        <f t="shared" si="0"/>
        <v>2671.49</v>
      </c>
      <c r="H24" s="56">
        <v>0.016666666666666666</v>
      </c>
      <c r="I24" s="57">
        <f t="shared" si="1"/>
        <v>44.52</v>
      </c>
      <c r="K24" s="464"/>
      <c r="L24" s="249"/>
      <c r="M24" s="51"/>
    </row>
    <row r="25" spans="1:13" ht="39">
      <c r="A25" s="53" t="s">
        <v>369</v>
      </c>
      <c r="B25" s="54" t="s">
        <v>370</v>
      </c>
      <c r="C25" s="166" t="s">
        <v>144</v>
      </c>
      <c r="D25" s="166" t="s">
        <v>152</v>
      </c>
      <c r="E25" s="55" t="s">
        <v>356</v>
      </c>
      <c r="F25" s="502">
        <v>2808.57</v>
      </c>
      <c r="G25" s="48">
        <f t="shared" si="0"/>
        <v>3359.05</v>
      </c>
      <c r="H25" s="56">
        <v>0.016666666666666666</v>
      </c>
      <c r="I25" s="57">
        <f t="shared" si="1"/>
        <v>55.98</v>
      </c>
      <c r="K25" s="181"/>
      <c r="L25" s="249"/>
      <c r="M25" s="51"/>
    </row>
    <row r="26" spans="1:13" ht="51.75">
      <c r="A26" s="53"/>
      <c r="B26" s="54" t="s">
        <v>371</v>
      </c>
      <c r="C26" s="166" t="s">
        <v>149</v>
      </c>
      <c r="D26" s="166">
        <v>2394</v>
      </c>
      <c r="E26" s="55" t="s">
        <v>356</v>
      </c>
      <c r="F26" s="502">
        <v>4775.22</v>
      </c>
      <c r="G26" s="48">
        <f t="shared" si="0"/>
        <v>5711.16</v>
      </c>
      <c r="H26" s="56">
        <v>0.016666666666666666</v>
      </c>
      <c r="I26" s="57">
        <f t="shared" si="1"/>
        <v>95.19</v>
      </c>
      <c r="K26" s="464"/>
      <c r="L26" s="249"/>
      <c r="M26" s="51"/>
    </row>
    <row r="27" spans="1:13" ht="102.75">
      <c r="A27" s="53" t="s">
        <v>1026</v>
      </c>
      <c r="B27" s="54" t="s">
        <v>59</v>
      </c>
      <c r="C27" s="166" t="s">
        <v>110</v>
      </c>
      <c r="D27" s="166" t="s">
        <v>60</v>
      </c>
      <c r="E27" s="55" t="s">
        <v>356</v>
      </c>
      <c r="F27" s="502">
        <v>32453.3</v>
      </c>
      <c r="G27" s="48">
        <f t="shared" si="0"/>
        <v>38814.15</v>
      </c>
      <c r="H27" s="56">
        <v>0.016666666666666666</v>
      </c>
      <c r="I27" s="57">
        <f t="shared" si="1"/>
        <v>646.9</v>
      </c>
      <c r="K27" s="181"/>
      <c r="L27" s="249"/>
      <c r="M27" s="51"/>
    </row>
    <row r="28" spans="1:13" ht="64.5">
      <c r="A28" s="53" t="s">
        <v>1027</v>
      </c>
      <c r="B28" s="54" t="s">
        <v>61</v>
      </c>
      <c r="C28" s="166" t="s">
        <v>110</v>
      </c>
      <c r="D28" s="166" t="s">
        <v>62</v>
      </c>
      <c r="E28" s="55" t="s">
        <v>356</v>
      </c>
      <c r="F28" s="502">
        <v>12034.5</v>
      </c>
      <c r="G28" s="48">
        <f t="shared" si="0"/>
        <v>14393.26</v>
      </c>
      <c r="H28" s="56">
        <v>0.016666666666666666</v>
      </c>
      <c r="I28" s="57">
        <f t="shared" si="1"/>
        <v>239.89</v>
      </c>
      <c r="K28" s="181"/>
      <c r="L28" s="249"/>
      <c r="M28" s="51"/>
    </row>
    <row r="29" spans="1:13" ht="77.25">
      <c r="A29" s="53"/>
      <c r="B29" s="54" t="s">
        <v>372</v>
      </c>
      <c r="C29" s="166" t="s">
        <v>144</v>
      </c>
      <c r="D29" s="166" t="s">
        <v>153</v>
      </c>
      <c r="E29" s="55" t="s">
        <v>356</v>
      </c>
      <c r="F29" s="502">
        <v>1445.1</v>
      </c>
      <c r="G29" s="48">
        <f t="shared" si="0"/>
        <v>1728.34</v>
      </c>
      <c r="H29" s="56">
        <v>0.016666666666666666</v>
      </c>
      <c r="I29" s="57">
        <f t="shared" si="1"/>
        <v>28.81</v>
      </c>
      <c r="K29" s="181"/>
      <c r="L29" s="249"/>
      <c r="M29" s="51"/>
    </row>
    <row r="30" spans="1:13" ht="39">
      <c r="A30" s="53" t="s">
        <v>373</v>
      </c>
      <c r="B30" s="54" t="s">
        <v>374</v>
      </c>
      <c r="C30" s="166" t="s">
        <v>144</v>
      </c>
      <c r="D30" s="166" t="s">
        <v>153</v>
      </c>
      <c r="E30" s="55" t="s">
        <v>356</v>
      </c>
      <c r="F30" s="502">
        <v>1445.1</v>
      </c>
      <c r="G30" s="48">
        <f t="shared" si="0"/>
        <v>1728.34</v>
      </c>
      <c r="H30" s="56">
        <v>0.016666666666666666</v>
      </c>
      <c r="I30" s="57">
        <f t="shared" si="1"/>
        <v>28.81</v>
      </c>
      <c r="K30" s="181"/>
      <c r="L30" s="249"/>
      <c r="M30" s="51"/>
    </row>
    <row r="31" spans="1:13" ht="26.25">
      <c r="A31" s="53" t="s">
        <v>34</v>
      </c>
      <c r="B31" s="54" t="s">
        <v>375</v>
      </c>
      <c r="C31" s="166" t="s">
        <v>144</v>
      </c>
      <c r="D31" s="166" t="s">
        <v>154</v>
      </c>
      <c r="E31" s="55" t="s">
        <v>356</v>
      </c>
      <c r="F31" s="502">
        <v>2.21</v>
      </c>
      <c r="G31" s="48">
        <f t="shared" si="0"/>
        <v>2.64</v>
      </c>
      <c r="H31" s="56">
        <v>3</v>
      </c>
      <c r="I31" s="57">
        <f t="shared" si="1"/>
        <v>7.92</v>
      </c>
      <c r="K31" s="181"/>
      <c r="L31" s="249"/>
      <c r="M31" s="51"/>
    </row>
    <row r="32" spans="1:13" ht="39">
      <c r="A32" s="53" t="s">
        <v>1</v>
      </c>
      <c r="B32" s="54" t="s">
        <v>0</v>
      </c>
      <c r="C32" s="166" t="s">
        <v>147</v>
      </c>
      <c r="D32" s="166"/>
      <c r="E32" s="55" t="s">
        <v>356</v>
      </c>
      <c r="F32" s="504">
        <v>334.25</v>
      </c>
      <c r="G32" s="48">
        <f t="shared" si="0"/>
        <v>399.76</v>
      </c>
      <c r="H32" s="56">
        <v>0.041666666666666664</v>
      </c>
      <c r="I32" s="57">
        <f>ROUND(G32*H32,2)</f>
        <v>16.66</v>
      </c>
      <c r="K32" s="181"/>
      <c r="L32" s="249"/>
      <c r="M32" s="51"/>
    </row>
    <row r="33" spans="1:13" ht="39">
      <c r="A33" s="53" t="s">
        <v>4</v>
      </c>
      <c r="B33" s="54" t="s">
        <v>4</v>
      </c>
      <c r="C33" s="166" t="s">
        <v>147</v>
      </c>
      <c r="D33" s="166"/>
      <c r="E33" s="55" t="s">
        <v>356</v>
      </c>
      <c r="F33" s="504">
        <v>942.95</v>
      </c>
      <c r="G33" s="48">
        <f t="shared" si="0"/>
        <v>1127.77</v>
      </c>
      <c r="H33" s="56">
        <v>0.3333333333333333</v>
      </c>
      <c r="I33" s="57">
        <f>ROUND(G33*H33,2)</f>
        <v>375.92</v>
      </c>
      <c r="K33" s="181"/>
      <c r="L33" s="249"/>
      <c r="M33" s="51"/>
    </row>
    <row r="34" spans="1:13" ht="43.5" customHeight="1">
      <c r="A34" s="53" t="s">
        <v>376</v>
      </c>
      <c r="B34" s="54" t="s">
        <v>376</v>
      </c>
      <c r="C34" s="166" t="s">
        <v>147</v>
      </c>
      <c r="D34" s="166"/>
      <c r="E34" s="55" t="s">
        <v>356</v>
      </c>
      <c r="F34" s="504">
        <v>625.25</v>
      </c>
      <c r="G34" s="48">
        <f t="shared" si="0"/>
        <v>747.8</v>
      </c>
      <c r="H34" s="56">
        <v>0.3333333333333333</v>
      </c>
      <c r="I34" s="57">
        <f t="shared" si="1"/>
        <v>249.27</v>
      </c>
      <c r="K34" s="181"/>
      <c r="L34" s="249"/>
      <c r="M34" s="51"/>
    </row>
    <row r="35" spans="1:13" ht="41.25" customHeight="1">
      <c r="A35" s="53" t="s">
        <v>377</v>
      </c>
      <c r="B35" s="54" t="s">
        <v>377</v>
      </c>
      <c r="C35" s="166" t="s">
        <v>147</v>
      </c>
      <c r="D35" s="166"/>
      <c r="E35" s="55" t="s">
        <v>356</v>
      </c>
      <c r="F35" s="504">
        <v>522.27</v>
      </c>
      <c r="G35" s="48">
        <f t="shared" si="0"/>
        <v>624.63</v>
      </c>
      <c r="H35" s="56">
        <v>0.3333333333333333</v>
      </c>
      <c r="I35" s="57">
        <f t="shared" si="1"/>
        <v>208.21</v>
      </c>
      <c r="K35" s="181"/>
      <c r="L35" s="249"/>
      <c r="M35" s="51"/>
    </row>
    <row r="36" spans="1:13" ht="39">
      <c r="A36" s="53" t="s">
        <v>378</v>
      </c>
      <c r="B36" s="54" t="s">
        <v>378</v>
      </c>
      <c r="C36" s="166" t="s">
        <v>147</v>
      </c>
      <c r="D36" s="166"/>
      <c r="E36" s="55" t="s">
        <v>356</v>
      </c>
      <c r="F36" s="504">
        <v>381.75</v>
      </c>
      <c r="G36" s="48">
        <f t="shared" si="0"/>
        <v>456.57</v>
      </c>
      <c r="H36" s="56">
        <v>0.3333333333333333</v>
      </c>
      <c r="I36" s="57">
        <f t="shared" si="1"/>
        <v>152.19</v>
      </c>
      <c r="K36" s="181"/>
      <c r="L36" s="249"/>
      <c r="M36" s="51"/>
    </row>
    <row r="37" spans="1:13" ht="39">
      <c r="A37" s="53" t="s">
        <v>379</v>
      </c>
      <c r="B37" s="54" t="s">
        <v>379</v>
      </c>
      <c r="C37" s="166" t="s">
        <v>147</v>
      </c>
      <c r="D37" s="166"/>
      <c r="E37" s="55" t="s">
        <v>356</v>
      </c>
      <c r="F37" s="504">
        <v>330.78</v>
      </c>
      <c r="G37" s="48">
        <f t="shared" si="0"/>
        <v>395.61</v>
      </c>
      <c r="H37" s="56">
        <v>0.3333333333333333</v>
      </c>
      <c r="I37" s="57">
        <f t="shared" si="1"/>
        <v>131.87</v>
      </c>
      <c r="K37" s="181"/>
      <c r="L37" s="249"/>
      <c r="M37" s="51"/>
    </row>
    <row r="38" spans="1:13" ht="39">
      <c r="A38" s="53" t="s">
        <v>380</v>
      </c>
      <c r="B38" s="54" t="s">
        <v>380</v>
      </c>
      <c r="C38" s="166" t="s">
        <v>144</v>
      </c>
      <c r="D38" s="166" t="s">
        <v>119</v>
      </c>
      <c r="E38" s="55" t="s">
        <v>356</v>
      </c>
      <c r="F38" s="504">
        <v>128.96</v>
      </c>
      <c r="G38" s="48">
        <f t="shared" si="0"/>
        <v>154.24</v>
      </c>
      <c r="H38" s="56">
        <v>0.5</v>
      </c>
      <c r="I38" s="57">
        <f t="shared" si="1"/>
        <v>77.12</v>
      </c>
      <c r="K38" s="181"/>
      <c r="L38" s="249"/>
      <c r="M38" s="51"/>
    </row>
    <row r="39" spans="1:13" ht="39">
      <c r="A39" s="53" t="s">
        <v>381</v>
      </c>
      <c r="B39" s="54" t="s">
        <v>381</v>
      </c>
      <c r="C39" s="166" t="s">
        <v>147</v>
      </c>
      <c r="D39" s="166"/>
      <c r="E39" s="55" t="s">
        <v>356</v>
      </c>
      <c r="F39" s="504">
        <v>249.14</v>
      </c>
      <c r="G39" s="48">
        <f aca="true" t="shared" si="2" ref="G39:G67">ROUND(F39*(1+$G$320),2)</f>
        <v>297.97</v>
      </c>
      <c r="H39" s="56">
        <v>0.5</v>
      </c>
      <c r="I39" s="57">
        <f t="shared" si="1"/>
        <v>148.99</v>
      </c>
      <c r="K39" s="181"/>
      <c r="L39" s="249"/>
      <c r="M39" s="51"/>
    </row>
    <row r="40" spans="1:13" ht="39">
      <c r="A40" s="53" t="s">
        <v>382</v>
      </c>
      <c r="B40" s="54" t="s">
        <v>382</v>
      </c>
      <c r="C40" s="166" t="s">
        <v>147</v>
      </c>
      <c r="D40" s="166"/>
      <c r="E40" s="55" t="s">
        <v>356</v>
      </c>
      <c r="F40" s="504">
        <v>189.61</v>
      </c>
      <c r="G40" s="48">
        <f t="shared" si="2"/>
        <v>226.77</v>
      </c>
      <c r="H40" s="56">
        <v>0.5</v>
      </c>
      <c r="I40" s="57">
        <f t="shared" si="1"/>
        <v>113.39</v>
      </c>
      <c r="K40" s="181"/>
      <c r="L40" s="249"/>
      <c r="M40" s="51"/>
    </row>
    <row r="41" spans="1:13" ht="26.25">
      <c r="A41" s="53"/>
      <c r="B41" s="54" t="s">
        <v>893</v>
      </c>
      <c r="C41" s="166" t="s">
        <v>147</v>
      </c>
      <c r="D41" s="166"/>
      <c r="E41" s="55" t="s">
        <v>356</v>
      </c>
      <c r="F41" s="504">
        <v>1453.15</v>
      </c>
      <c r="G41" s="48">
        <f t="shared" si="2"/>
        <v>1737.97</v>
      </c>
      <c r="H41" s="56">
        <v>0.016666666666666666</v>
      </c>
      <c r="I41" s="57">
        <f t="shared" si="1"/>
        <v>28.97</v>
      </c>
      <c r="K41" s="181"/>
      <c r="L41" s="249"/>
      <c r="M41" s="51"/>
    </row>
    <row r="42" spans="1:13" ht="39">
      <c r="A42" s="53"/>
      <c r="B42" s="54" t="s">
        <v>986</v>
      </c>
      <c r="C42" s="166" t="s">
        <v>147</v>
      </c>
      <c r="D42" s="166"/>
      <c r="E42" s="55" t="s">
        <v>356</v>
      </c>
      <c r="F42" s="504">
        <v>614.16</v>
      </c>
      <c r="G42" s="48">
        <f t="shared" si="2"/>
        <v>734.54</v>
      </c>
      <c r="H42" s="56">
        <v>0.08333333333333333</v>
      </c>
      <c r="I42" s="57">
        <f aca="true" t="shared" si="3" ref="I42:I47">ROUND(G42*H42,2)</f>
        <v>61.21</v>
      </c>
      <c r="K42" s="181"/>
      <c r="L42" s="249"/>
      <c r="M42" s="51"/>
    </row>
    <row r="43" spans="1:13" ht="39">
      <c r="A43" s="53" t="s">
        <v>445</v>
      </c>
      <c r="B43" s="54" t="s">
        <v>987</v>
      </c>
      <c r="C43" s="166" t="s">
        <v>147</v>
      </c>
      <c r="D43" s="166"/>
      <c r="E43" s="55" t="s">
        <v>356</v>
      </c>
      <c r="F43" s="504">
        <v>333.2</v>
      </c>
      <c r="G43" s="48">
        <f t="shared" si="2"/>
        <v>398.51</v>
      </c>
      <c r="H43" s="56">
        <v>0.08333333333333333</v>
      </c>
      <c r="I43" s="57">
        <f t="shared" si="3"/>
        <v>33.21</v>
      </c>
      <c r="K43" s="181"/>
      <c r="L43" s="249"/>
      <c r="M43" s="51"/>
    </row>
    <row r="44" spans="1:13" ht="39">
      <c r="A44" s="53" t="s">
        <v>445</v>
      </c>
      <c r="B44" s="54" t="s">
        <v>988</v>
      </c>
      <c r="C44" s="166" t="s">
        <v>147</v>
      </c>
      <c r="D44" s="166"/>
      <c r="E44" s="55" t="s">
        <v>356</v>
      </c>
      <c r="F44" s="504">
        <v>284.44</v>
      </c>
      <c r="G44" s="48">
        <f t="shared" si="2"/>
        <v>340.19</v>
      </c>
      <c r="H44" s="56">
        <v>0.08333333333333333</v>
      </c>
      <c r="I44" s="57">
        <f t="shared" si="3"/>
        <v>28.35</v>
      </c>
      <c r="K44" s="181"/>
      <c r="L44" s="249"/>
      <c r="M44" s="51"/>
    </row>
    <row r="45" spans="1:13" ht="51.75">
      <c r="A45" s="53" t="s">
        <v>445</v>
      </c>
      <c r="B45" s="54" t="s">
        <v>992</v>
      </c>
      <c r="C45" s="166" t="s">
        <v>147</v>
      </c>
      <c r="D45" s="166"/>
      <c r="E45" s="55" t="s">
        <v>356</v>
      </c>
      <c r="F45" s="504">
        <v>291.63</v>
      </c>
      <c r="G45" s="48">
        <f t="shared" si="2"/>
        <v>348.79</v>
      </c>
      <c r="H45" s="56">
        <v>0.08333333333333333</v>
      </c>
      <c r="I45" s="57">
        <f t="shared" si="3"/>
        <v>29.07</v>
      </c>
      <c r="K45" s="181"/>
      <c r="L45" s="249"/>
      <c r="M45" s="51"/>
    </row>
    <row r="46" spans="1:13" ht="39">
      <c r="A46" s="53" t="s">
        <v>445</v>
      </c>
      <c r="B46" s="54" t="s">
        <v>991</v>
      </c>
      <c r="C46" s="166" t="s">
        <v>147</v>
      </c>
      <c r="D46" s="166"/>
      <c r="E46" s="55" t="s">
        <v>356</v>
      </c>
      <c r="F46" s="504">
        <v>212.3</v>
      </c>
      <c r="G46" s="48">
        <f t="shared" si="2"/>
        <v>253.91</v>
      </c>
      <c r="H46" s="56">
        <v>0.08333333333333333</v>
      </c>
      <c r="I46" s="57">
        <f t="shared" si="3"/>
        <v>21.16</v>
      </c>
      <c r="K46" s="181"/>
      <c r="L46" s="249"/>
      <c r="M46" s="51"/>
    </row>
    <row r="47" spans="1:13" ht="15.75">
      <c r="A47" s="53"/>
      <c r="B47" s="54" t="s">
        <v>887</v>
      </c>
      <c r="C47" s="166" t="s">
        <v>147</v>
      </c>
      <c r="D47" s="166"/>
      <c r="E47" s="55" t="s">
        <v>356</v>
      </c>
      <c r="F47" s="504">
        <v>3341.37</v>
      </c>
      <c r="G47" s="48">
        <f t="shared" si="2"/>
        <v>3996.28</v>
      </c>
      <c r="H47" s="56">
        <v>0.08333333333333333</v>
      </c>
      <c r="I47" s="57">
        <f t="shared" si="3"/>
        <v>333.02</v>
      </c>
      <c r="K47" s="181"/>
      <c r="L47" s="249"/>
      <c r="M47" s="51"/>
    </row>
    <row r="48" spans="1:13" ht="15.75">
      <c r="A48" s="53" t="s">
        <v>35</v>
      </c>
      <c r="B48" s="54" t="s">
        <v>383</v>
      </c>
      <c r="C48" s="166" t="s">
        <v>149</v>
      </c>
      <c r="D48" s="166">
        <v>1019</v>
      </c>
      <c r="E48" s="55" t="s">
        <v>869</v>
      </c>
      <c r="F48" s="82">
        <v>33.56</v>
      </c>
      <c r="G48" s="48">
        <f t="shared" si="2"/>
        <v>40.14</v>
      </c>
      <c r="H48" s="56">
        <v>5</v>
      </c>
      <c r="I48" s="57">
        <f t="shared" si="1"/>
        <v>200.7</v>
      </c>
      <c r="K48" s="464"/>
      <c r="L48" s="249"/>
      <c r="M48" s="51"/>
    </row>
    <row r="49" spans="1:13" ht="15.75">
      <c r="A49" s="53" t="s">
        <v>35</v>
      </c>
      <c r="B49" s="54" t="s">
        <v>385</v>
      </c>
      <c r="C49" s="166" t="s">
        <v>149</v>
      </c>
      <c r="D49" s="166">
        <v>1018</v>
      </c>
      <c r="E49" s="55" t="s">
        <v>869</v>
      </c>
      <c r="F49" s="82">
        <v>47.83</v>
      </c>
      <c r="G49" s="48">
        <f t="shared" si="2"/>
        <v>57.2</v>
      </c>
      <c r="H49" s="56">
        <v>5</v>
      </c>
      <c r="I49" s="57">
        <f aca="true" t="shared" si="4" ref="I49:I84">ROUND(G49*H49,2)</f>
        <v>286</v>
      </c>
      <c r="K49" s="464"/>
      <c r="L49" s="249"/>
      <c r="M49" s="51"/>
    </row>
    <row r="50" spans="1:13" ht="15.75">
      <c r="A50" s="53" t="s">
        <v>35</v>
      </c>
      <c r="B50" s="54" t="s">
        <v>386</v>
      </c>
      <c r="C50" s="166" t="s">
        <v>144</v>
      </c>
      <c r="D50" s="166" t="s">
        <v>155</v>
      </c>
      <c r="E50" s="55" t="s">
        <v>384</v>
      </c>
      <c r="F50" s="82">
        <v>37.22</v>
      </c>
      <c r="G50" s="48">
        <f t="shared" si="2"/>
        <v>44.52</v>
      </c>
      <c r="H50" s="56">
        <v>5</v>
      </c>
      <c r="I50" s="57">
        <f t="shared" si="4"/>
        <v>222.6</v>
      </c>
      <c r="K50" s="181"/>
      <c r="L50" s="249"/>
      <c r="M50" s="51"/>
    </row>
    <row r="51" spans="1:13" ht="15.75">
      <c r="A51" s="53" t="s">
        <v>35</v>
      </c>
      <c r="B51" s="54" t="s">
        <v>387</v>
      </c>
      <c r="C51" s="166" t="s">
        <v>144</v>
      </c>
      <c r="D51" s="166" t="s">
        <v>156</v>
      </c>
      <c r="E51" s="55" t="s">
        <v>384</v>
      </c>
      <c r="F51" s="82">
        <v>49.45</v>
      </c>
      <c r="G51" s="48">
        <f t="shared" si="2"/>
        <v>59.14</v>
      </c>
      <c r="H51" s="56">
        <v>5</v>
      </c>
      <c r="I51" s="57">
        <f t="shared" si="4"/>
        <v>295.7</v>
      </c>
      <c r="K51" s="181"/>
      <c r="L51" s="249"/>
      <c r="M51" s="51"/>
    </row>
    <row r="52" spans="1:13" ht="26.25">
      <c r="A52" s="53" t="s">
        <v>35</v>
      </c>
      <c r="B52" s="54" t="s">
        <v>681</v>
      </c>
      <c r="C52" s="166" t="s">
        <v>149</v>
      </c>
      <c r="D52" s="166">
        <v>1017</v>
      </c>
      <c r="E52" s="55" t="s">
        <v>869</v>
      </c>
      <c r="F52" s="82">
        <v>114.59</v>
      </c>
      <c r="G52" s="48">
        <f t="shared" si="2"/>
        <v>137.05</v>
      </c>
      <c r="H52" s="56">
        <v>1</v>
      </c>
      <c r="I52" s="57">
        <f>ROUND(G52*H52,2)</f>
        <v>137.05</v>
      </c>
      <c r="K52" s="464"/>
      <c r="L52" s="249"/>
      <c r="M52" s="51"/>
    </row>
    <row r="53" spans="1:13" ht="26.25">
      <c r="A53" s="53" t="s">
        <v>35</v>
      </c>
      <c r="B53" s="54" t="s">
        <v>682</v>
      </c>
      <c r="C53" s="166" t="s">
        <v>144</v>
      </c>
      <c r="D53" s="166" t="s">
        <v>299</v>
      </c>
      <c r="E53" s="55" t="s">
        <v>384</v>
      </c>
      <c r="F53" s="82">
        <v>79.75</v>
      </c>
      <c r="G53" s="48">
        <f t="shared" si="2"/>
        <v>95.38</v>
      </c>
      <c r="H53" s="56">
        <v>1</v>
      </c>
      <c r="I53" s="57">
        <f>ROUND(G53*H53,2)</f>
        <v>95.38</v>
      </c>
      <c r="K53" s="181"/>
      <c r="L53" s="249"/>
      <c r="M53" s="51"/>
    </row>
    <row r="54" spans="1:13" ht="26.25">
      <c r="A54" s="53" t="s">
        <v>35</v>
      </c>
      <c r="B54" s="54" t="s">
        <v>388</v>
      </c>
      <c r="C54" s="166" t="s">
        <v>149</v>
      </c>
      <c r="D54" s="166">
        <v>1000</v>
      </c>
      <c r="E54" s="55" t="s">
        <v>869</v>
      </c>
      <c r="F54" s="82">
        <v>174.04</v>
      </c>
      <c r="G54" s="48">
        <f t="shared" si="2"/>
        <v>208.15</v>
      </c>
      <c r="H54" s="56">
        <v>1</v>
      </c>
      <c r="I54" s="57">
        <f t="shared" si="4"/>
        <v>208.15</v>
      </c>
      <c r="K54" s="464"/>
      <c r="L54" s="249"/>
      <c r="M54" s="51"/>
    </row>
    <row r="55" spans="1:13" ht="26.25">
      <c r="A55" s="53" t="s">
        <v>35</v>
      </c>
      <c r="B55" s="54" t="s">
        <v>683</v>
      </c>
      <c r="C55" s="166" t="s">
        <v>144</v>
      </c>
      <c r="D55" s="166" t="s">
        <v>300</v>
      </c>
      <c r="E55" s="55" t="s">
        <v>384</v>
      </c>
      <c r="F55" s="82">
        <v>128.75</v>
      </c>
      <c r="G55" s="48">
        <f t="shared" si="2"/>
        <v>153.99</v>
      </c>
      <c r="H55" s="56">
        <v>1</v>
      </c>
      <c r="I55" s="57">
        <f>ROUND(G55*H55,2)</f>
        <v>153.99</v>
      </c>
      <c r="K55" s="181"/>
      <c r="L55" s="249"/>
      <c r="M55" s="51"/>
    </row>
    <row r="56" spans="1:13" ht="26.25">
      <c r="A56" s="53" t="s">
        <v>35</v>
      </c>
      <c r="B56" s="54" t="s">
        <v>302</v>
      </c>
      <c r="C56" s="166" t="s">
        <v>144</v>
      </c>
      <c r="D56" s="166" t="s">
        <v>301</v>
      </c>
      <c r="E56" s="55" t="s">
        <v>384</v>
      </c>
      <c r="F56" s="82">
        <v>161.12</v>
      </c>
      <c r="G56" s="48">
        <f t="shared" si="2"/>
        <v>192.7</v>
      </c>
      <c r="H56" s="56">
        <v>1</v>
      </c>
      <c r="I56" s="57">
        <f t="shared" si="4"/>
        <v>192.7</v>
      </c>
      <c r="K56" s="181"/>
      <c r="L56" s="249"/>
      <c r="M56" s="51"/>
    </row>
    <row r="57" spans="1:13" ht="39">
      <c r="A57" s="53" t="s">
        <v>36</v>
      </c>
      <c r="B57" s="54" t="s">
        <v>389</v>
      </c>
      <c r="C57" s="166" t="s">
        <v>149</v>
      </c>
      <c r="D57" s="166">
        <v>1585</v>
      </c>
      <c r="E57" s="55" t="s">
        <v>867</v>
      </c>
      <c r="F57" s="82">
        <v>5.03</v>
      </c>
      <c r="G57" s="48">
        <f t="shared" si="2"/>
        <v>6.02</v>
      </c>
      <c r="H57" s="56">
        <v>3</v>
      </c>
      <c r="I57" s="57">
        <f t="shared" si="4"/>
        <v>18.06</v>
      </c>
      <c r="K57" s="464"/>
      <c r="L57" s="249"/>
      <c r="M57" s="51"/>
    </row>
    <row r="58" spans="1:13" ht="39">
      <c r="A58" s="53" t="s">
        <v>36</v>
      </c>
      <c r="B58" s="54" t="s">
        <v>390</v>
      </c>
      <c r="C58" s="166" t="s">
        <v>149</v>
      </c>
      <c r="D58" s="166">
        <v>1586</v>
      </c>
      <c r="E58" s="55" t="s">
        <v>867</v>
      </c>
      <c r="F58" s="82">
        <v>6.37</v>
      </c>
      <c r="G58" s="48">
        <f t="shared" si="2"/>
        <v>7.62</v>
      </c>
      <c r="H58" s="56">
        <v>3</v>
      </c>
      <c r="I58" s="57">
        <f t="shared" si="4"/>
        <v>22.86</v>
      </c>
      <c r="K58" s="464"/>
      <c r="L58" s="249"/>
      <c r="M58" s="51"/>
    </row>
    <row r="59" spans="1:13" ht="39">
      <c r="A59" s="53" t="s">
        <v>36</v>
      </c>
      <c r="B59" s="54" t="s">
        <v>391</v>
      </c>
      <c r="C59" s="166" t="s">
        <v>149</v>
      </c>
      <c r="D59" s="166">
        <v>1587</v>
      </c>
      <c r="E59" s="55" t="s">
        <v>867</v>
      </c>
      <c r="F59" s="82">
        <v>6.49</v>
      </c>
      <c r="G59" s="48">
        <f t="shared" si="2"/>
        <v>7.76</v>
      </c>
      <c r="H59" s="56">
        <v>3</v>
      </c>
      <c r="I59" s="57">
        <f t="shared" si="4"/>
        <v>23.28</v>
      </c>
      <c r="K59" s="464"/>
      <c r="L59" s="249"/>
      <c r="M59" s="51"/>
    </row>
    <row r="60" spans="1:13" ht="39">
      <c r="A60" s="53" t="s">
        <v>36</v>
      </c>
      <c r="B60" s="54" t="s">
        <v>392</v>
      </c>
      <c r="C60" s="166" t="s">
        <v>149</v>
      </c>
      <c r="D60" s="166">
        <v>1588</v>
      </c>
      <c r="E60" s="55" t="s">
        <v>867</v>
      </c>
      <c r="F60" s="82">
        <v>8.9</v>
      </c>
      <c r="G60" s="48">
        <f t="shared" si="2"/>
        <v>10.64</v>
      </c>
      <c r="H60" s="56">
        <v>1</v>
      </c>
      <c r="I60" s="57">
        <f t="shared" si="4"/>
        <v>10.64</v>
      </c>
      <c r="K60" s="464"/>
      <c r="L60" s="249"/>
      <c r="M60" s="51"/>
    </row>
    <row r="61" spans="1:13" ht="39">
      <c r="A61" s="53" t="s">
        <v>36</v>
      </c>
      <c r="B61" s="54" t="s">
        <v>393</v>
      </c>
      <c r="C61" s="166" t="s">
        <v>149</v>
      </c>
      <c r="D61" s="166">
        <v>1589</v>
      </c>
      <c r="E61" s="55" t="s">
        <v>867</v>
      </c>
      <c r="F61" s="82">
        <v>9.18</v>
      </c>
      <c r="G61" s="48">
        <f t="shared" si="2"/>
        <v>10.98</v>
      </c>
      <c r="H61" s="56">
        <v>1</v>
      </c>
      <c r="I61" s="57">
        <f t="shared" si="4"/>
        <v>10.98</v>
      </c>
      <c r="K61" s="464"/>
      <c r="L61" s="249"/>
      <c r="M61" s="51"/>
    </row>
    <row r="62" spans="1:13" ht="39">
      <c r="A62" s="53" t="s">
        <v>36</v>
      </c>
      <c r="B62" s="54" t="s">
        <v>394</v>
      </c>
      <c r="C62" s="166" t="s">
        <v>149</v>
      </c>
      <c r="D62" s="166">
        <v>1590</v>
      </c>
      <c r="E62" s="55" t="s">
        <v>867</v>
      </c>
      <c r="F62" s="82">
        <v>16.17</v>
      </c>
      <c r="G62" s="48">
        <f t="shared" si="2"/>
        <v>19.34</v>
      </c>
      <c r="H62" s="56">
        <v>1</v>
      </c>
      <c r="I62" s="57">
        <f t="shared" si="4"/>
        <v>19.34</v>
      </c>
      <c r="K62" s="464"/>
      <c r="L62" s="249"/>
      <c r="M62" s="51"/>
    </row>
    <row r="63" spans="1:13" ht="39">
      <c r="A63" s="53" t="s">
        <v>36</v>
      </c>
      <c r="B63" s="54" t="s">
        <v>395</v>
      </c>
      <c r="C63" s="166" t="s">
        <v>149</v>
      </c>
      <c r="D63" s="166">
        <v>1591</v>
      </c>
      <c r="E63" s="55" t="s">
        <v>867</v>
      </c>
      <c r="F63" s="82">
        <v>23.97</v>
      </c>
      <c r="G63" s="48">
        <f t="shared" si="2"/>
        <v>28.67</v>
      </c>
      <c r="H63" s="56">
        <v>2</v>
      </c>
      <c r="I63" s="57">
        <f t="shared" si="4"/>
        <v>57.34</v>
      </c>
      <c r="K63" s="464"/>
      <c r="L63" s="249"/>
      <c r="M63" s="51"/>
    </row>
    <row r="64" spans="1:13" ht="39">
      <c r="A64" s="53" t="s">
        <v>36</v>
      </c>
      <c r="B64" s="54" t="s">
        <v>396</v>
      </c>
      <c r="C64" s="166" t="s">
        <v>149</v>
      </c>
      <c r="D64" s="166">
        <v>1593</v>
      </c>
      <c r="E64" s="55" t="s">
        <v>867</v>
      </c>
      <c r="F64" s="82">
        <v>26.73</v>
      </c>
      <c r="G64" s="48">
        <f t="shared" si="2"/>
        <v>31.97</v>
      </c>
      <c r="H64" s="56">
        <v>1</v>
      </c>
      <c r="I64" s="57">
        <f t="shared" si="4"/>
        <v>31.97</v>
      </c>
      <c r="K64" s="464"/>
      <c r="L64" s="249"/>
      <c r="M64" s="51"/>
    </row>
    <row r="65" spans="1:13" ht="15.75">
      <c r="A65" s="53" t="s">
        <v>37</v>
      </c>
      <c r="B65" s="54" t="s">
        <v>684</v>
      </c>
      <c r="C65" s="166" t="s">
        <v>149</v>
      </c>
      <c r="D65" s="166">
        <v>3294</v>
      </c>
      <c r="E65" s="55" t="s">
        <v>867</v>
      </c>
      <c r="F65" s="82">
        <v>18.63</v>
      </c>
      <c r="G65" s="48">
        <f t="shared" si="2"/>
        <v>22.28</v>
      </c>
      <c r="H65" s="56">
        <v>3</v>
      </c>
      <c r="I65" s="57">
        <f t="shared" si="4"/>
        <v>66.84</v>
      </c>
      <c r="K65" s="464"/>
      <c r="L65" s="249"/>
      <c r="M65" s="51"/>
    </row>
    <row r="66" spans="1:13" ht="15.75">
      <c r="A66" s="53" t="s">
        <v>397</v>
      </c>
      <c r="B66" s="54" t="s">
        <v>685</v>
      </c>
      <c r="C66" s="166" t="s">
        <v>144</v>
      </c>
      <c r="D66" s="166" t="s">
        <v>833</v>
      </c>
      <c r="E66" s="55" t="s">
        <v>356</v>
      </c>
      <c r="F66" s="82">
        <v>51.37</v>
      </c>
      <c r="G66" s="48">
        <f t="shared" si="2"/>
        <v>61.44</v>
      </c>
      <c r="H66" s="56">
        <v>1</v>
      </c>
      <c r="I66" s="57">
        <f t="shared" si="4"/>
        <v>61.44</v>
      </c>
      <c r="K66" s="181"/>
      <c r="L66" s="249"/>
      <c r="M66" s="51"/>
    </row>
    <row r="67" spans="1:13" ht="15.75">
      <c r="A67" s="53" t="s">
        <v>398</v>
      </c>
      <c r="B67" s="54" t="s">
        <v>399</v>
      </c>
      <c r="C67" s="166" t="s">
        <v>144</v>
      </c>
      <c r="D67" s="166" t="s">
        <v>157</v>
      </c>
      <c r="E67" s="55" t="s">
        <v>356</v>
      </c>
      <c r="F67" s="82">
        <v>54.75</v>
      </c>
      <c r="G67" s="48">
        <f t="shared" si="2"/>
        <v>65.48</v>
      </c>
      <c r="H67" s="56">
        <v>1</v>
      </c>
      <c r="I67" s="57">
        <f t="shared" si="4"/>
        <v>65.48</v>
      </c>
      <c r="K67" s="181"/>
      <c r="L67" s="249"/>
      <c r="M67" s="51"/>
    </row>
    <row r="68" spans="1:13" ht="15.75">
      <c r="A68" s="53" t="s">
        <v>400</v>
      </c>
      <c r="B68" s="54" t="s">
        <v>401</v>
      </c>
      <c r="C68" s="166" t="s">
        <v>144</v>
      </c>
      <c r="D68" s="166" t="s">
        <v>158</v>
      </c>
      <c r="E68" s="55" t="s">
        <v>356</v>
      </c>
      <c r="F68" s="82">
        <v>69.46</v>
      </c>
      <c r="G68" s="48">
        <f aca="true" t="shared" si="5" ref="G68:G99">ROUND(F68*(1+$G$320),2)</f>
        <v>83.07</v>
      </c>
      <c r="H68" s="56">
        <v>1</v>
      </c>
      <c r="I68" s="57">
        <f t="shared" si="4"/>
        <v>83.07</v>
      </c>
      <c r="K68" s="181"/>
      <c r="L68" s="249"/>
      <c r="M68" s="51"/>
    </row>
    <row r="69" spans="1:13" ht="15.75">
      <c r="A69" s="53"/>
      <c r="B69" s="54" t="s">
        <v>402</v>
      </c>
      <c r="C69" s="166" t="s">
        <v>144</v>
      </c>
      <c r="D69" s="166" t="s">
        <v>159</v>
      </c>
      <c r="E69" s="55" t="s">
        <v>356</v>
      </c>
      <c r="F69" s="82">
        <v>19.13</v>
      </c>
      <c r="G69" s="48">
        <f t="shared" si="5"/>
        <v>22.88</v>
      </c>
      <c r="H69" s="56">
        <v>3</v>
      </c>
      <c r="I69" s="57">
        <f t="shared" si="4"/>
        <v>68.64</v>
      </c>
      <c r="K69" s="181"/>
      <c r="L69" s="249"/>
      <c r="M69" s="51"/>
    </row>
    <row r="70" spans="1:13" ht="15.75">
      <c r="A70" s="53"/>
      <c r="B70" s="54" t="s">
        <v>403</v>
      </c>
      <c r="C70" s="166" t="s">
        <v>144</v>
      </c>
      <c r="D70" s="166" t="s">
        <v>160</v>
      </c>
      <c r="E70" s="55" t="s">
        <v>356</v>
      </c>
      <c r="F70" s="82">
        <v>98.32</v>
      </c>
      <c r="G70" s="48">
        <f t="shared" si="5"/>
        <v>117.59</v>
      </c>
      <c r="H70" s="56">
        <v>0.041666666666666664</v>
      </c>
      <c r="I70" s="57">
        <f t="shared" si="4"/>
        <v>4.9</v>
      </c>
      <c r="K70" s="181"/>
      <c r="L70" s="249"/>
      <c r="M70" s="51"/>
    </row>
    <row r="71" spans="1:13" ht="15.75">
      <c r="A71" s="53"/>
      <c r="B71" s="54" t="s">
        <v>404</v>
      </c>
      <c r="C71" s="166" t="s">
        <v>144</v>
      </c>
      <c r="D71" s="166" t="s">
        <v>161</v>
      </c>
      <c r="E71" s="55" t="s">
        <v>356</v>
      </c>
      <c r="F71" s="82">
        <v>98.32</v>
      </c>
      <c r="G71" s="48">
        <f t="shared" si="5"/>
        <v>117.59</v>
      </c>
      <c r="H71" s="56">
        <v>0.041666666666666664</v>
      </c>
      <c r="I71" s="57">
        <f t="shared" si="4"/>
        <v>4.9</v>
      </c>
      <c r="K71" s="181"/>
      <c r="L71" s="249"/>
      <c r="M71" s="51"/>
    </row>
    <row r="72" spans="1:13" ht="15.75">
      <c r="A72" s="53"/>
      <c r="B72" s="54" t="s">
        <v>405</v>
      </c>
      <c r="C72" s="166" t="s">
        <v>144</v>
      </c>
      <c r="D72" s="166" t="s">
        <v>162</v>
      </c>
      <c r="E72" s="55" t="s">
        <v>356</v>
      </c>
      <c r="F72" s="82">
        <v>135.79</v>
      </c>
      <c r="G72" s="48">
        <f t="shared" si="5"/>
        <v>162.4</v>
      </c>
      <c r="H72" s="56">
        <v>0.041666666666666664</v>
      </c>
      <c r="I72" s="57">
        <f t="shared" si="4"/>
        <v>6.77</v>
      </c>
      <c r="K72" s="181"/>
      <c r="L72" s="249"/>
      <c r="M72" s="51"/>
    </row>
    <row r="73" spans="1:13" ht="26.25">
      <c r="A73" s="53"/>
      <c r="B73" s="54" t="s">
        <v>406</v>
      </c>
      <c r="C73" s="166" t="s">
        <v>144</v>
      </c>
      <c r="D73" s="166" t="s">
        <v>163</v>
      </c>
      <c r="E73" s="55" t="s">
        <v>356</v>
      </c>
      <c r="F73" s="82">
        <v>168.7</v>
      </c>
      <c r="G73" s="48">
        <f t="shared" si="5"/>
        <v>201.77</v>
      </c>
      <c r="H73" s="56">
        <v>0.016666666666666666</v>
      </c>
      <c r="I73" s="57">
        <f t="shared" si="4"/>
        <v>3.36</v>
      </c>
      <c r="K73" s="181"/>
      <c r="L73" s="249"/>
      <c r="M73" s="51"/>
    </row>
    <row r="74" spans="1:13" ht="26.25">
      <c r="A74" s="53"/>
      <c r="B74" s="54" t="s">
        <v>407</v>
      </c>
      <c r="C74" s="166" t="s">
        <v>144</v>
      </c>
      <c r="D74" s="166" t="s">
        <v>840</v>
      </c>
      <c r="E74" s="55" t="s">
        <v>356</v>
      </c>
      <c r="F74" s="82">
        <v>338.32</v>
      </c>
      <c r="G74" s="48">
        <f t="shared" si="5"/>
        <v>404.63</v>
      </c>
      <c r="H74" s="56">
        <v>0.016666666666666666</v>
      </c>
      <c r="I74" s="57">
        <f t="shared" si="4"/>
        <v>6.74</v>
      </c>
      <c r="K74" s="181"/>
      <c r="L74" s="249"/>
      <c r="M74" s="51"/>
    </row>
    <row r="75" spans="1:13" ht="26.25">
      <c r="A75" s="53"/>
      <c r="B75" s="54" t="s">
        <v>408</v>
      </c>
      <c r="C75" s="166" t="s">
        <v>144</v>
      </c>
      <c r="D75" s="166" t="s">
        <v>841</v>
      </c>
      <c r="E75" s="55" t="s">
        <v>356</v>
      </c>
      <c r="F75" s="82">
        <v>536.7</v>
      </c>
      <c r="G75" s="48">
        <f t="shared" si="5"/>
        <v>641.89</v>
      </c>
      <c r="H75" s="56">
        <v>0.016666666666666666</v>
      </c>
      <c r="I75" s="57">
        <f t="shared" si="4"/>
        <v>10.7</v>
      </c>
      <c r="K75" s="181"/>
      <c r="L75" s="249"/>
      <c r="M75" s="51"/>
    </row>
    <row r="76" spans="1:13" ht="26.25">
      <c r="A76" s="53"/>
      <c r="B76" s="54" t="s">
        <v>409</v>
      </c>
      <c r="C76" s="166" t="s">
        <v>144</v>
      </c>
      <c r="D76" s="166" t="s">
        <v>842</v>
      </c>
      <c r="E76" s="55" t="s">
        <v>356</v>
      </c>
      <c r="F76" s="82">
        <v>675.8</v>
      </c>
      <c r="G76" s="48">
        <f t="shared" si="5"/>
        <v>808.26</v>
      </c>
      <c r="H76" s="56">
        <v>0.016666666666666666</v>
      </c>
      <c r="I76" s="57">
        <f t="shared" si="4"/>
        <v>13.47</v>
      </c>
      <c r="K76" s="181"/>
      <c r="L76" s="249"/>
      <c r="M76" s="51"/>
    </row>
    <row r="77" spans="1:13" ht="26.25">
      <c r="A77" s="53" t="s">
        <v>1028</v>
      </c>
      <c r="B77" s="54" t="s">
        <v>410</v>
      </c>
      <c r="C77" s="166" t="s">
        <v>144</v>
      </c>
      <c r="D77" s="166" t="s">
        <v>164</v>
      </c>
      <c r="E77" s="55" t="s">
        <v>356</v>
      </c>
      <c r="F77" s="82">
        <v>6.46</v>
      </c>
      <c r="G77" s="48">
        <f t="shared" si="5"/>
        <v>7.73</v>
      </c>
      <c r="H77" s="56">
        <v>3</v>
      </c>
      <c r="I77" s="57">
        <f t="shared" si="4"/>
        <v>23.19</v>
      </c>
      <c r="K77" s="181"/>
      <c r="L77" s="249"/>
      <c r="M77" s="51"/>
    </row>
    <row r="78" spans="1:13" ht="26.25">
      <c r="A78" s="53"/>
      <c r="B78" s="54" t="s">
        <v>708</v>
      </c>
      <c r="C78" s="166" t="s">
        <v>144</v>
      </c>
      <c r="D78" s="166" t="s">
        <v>165</v>
      </c>
      <c r="E78" s="55" t="s">
        <v>356</v>
      </c>
      <c r="F78" s="82">
        <v>76.39</v>
      </c>
      <c r="G78" s="48">
        <f t="shared" si="5"/>
        <v>91.36</v>
      </c>
      <c r="H78" s="56">
        <v>0.08333333333333333</v>
      </c>
      <c r="I78" s="57">
        <f t="shared" si="4"/>
        <v>7.61</v>
      </c>
      <c r="K78" s="181"/>
      <c r="L78" s="249"/>
      <c r="M78" s="51"/>
    </row>
    <row r="79" spans="1:13" ht="26.25">
      <c r="A79" s="53"/>
      <c r="B79" s="54" t="s">
        <v>411</v>
      </c>
      <c r="C79" s="166" t="s">
        <v>144</v>
      </c>
      <c r="D79" s="166" t="s">
        <v>166</v>
      </c>
      <c r="E79" s="55" t="s">
        <v>356</v>
      </c>
      <c r="F79" s="82">
        <v>272.02</v>
      </c>
      <c r="G79" s="48">
        <f t="shared" si="5"/>
        <v>325.34</v>
      </c>
      <c r="H79" s="56">
        <v>0.016666666666666666</v>
      </c>
      <c r="I79" s="57">
        <f t="shared" si="4"/>
        <v>5.42</v>
      </c>
      <c r="K79" s="181"/>
      <c r="L79" s="249"/>
      <c r="M79" s="51"/>
    </row>
    <row r="80" spans="1:13" ht="51.75">
      <c r="A80" s="53"/>
      <c r="B80" s="54" t="s">
        <v>199</v>
      </c>
      <c r="C80" s="166" t="s">
        <v>144</v>
      </c>
      <c r="D80" s="166" t="s">
        <v>198</v>
      </c>
      <c r="E80" s="55" t="s">
        <v>356</v>
      </c>
      <c r="F80" s="82">
        <v>176.35</v>
      </c>
      <c r="G80" s="48">
        <f t="shared" si="5"/>
        <v>210.91</v>
      </c>
      <c r="H80" s="56">
        <v>0.016666666666666666</v>
      </c>
      <c r="I80" s="57">
        <f>ROUND(G80*H80,2)</f>
        <v>3.52</v>
      </c>
      <c r="K80" s="181"/>
      <c r="L80" s="249"/>
      <c r="M80" s="51"/>
    </row>
    <row r="81" spans="1:13" ht="26.25">
      <c r="A81" s="53" t="s">
        <v>38</v>
      </c>
      <c r="B81" s="54" t="s">
        <v>412</v>
      </c>
      <c r="C81" s="166" t="s">
        <v>149</v>
      </c>
      <c r="D81" s="166">
        <v>867</v>
      </c>
      <c r="E81" s="55" t="s">
        <v>869</v>
      </c>
      <c r="F81" s="82">
        <v>42.49</v>
      </c>
      <c r="G81" s="48">
        <f t="shared" si="5"/>
        <v>50.82</v>
      </c>
      <c r="H81" s="56">
        <v>1</v>
      </c>
      <c r="I81" s="57">
        <f t="shared" si="4"/>
        <v>50.82</v>
      </c>
      <c r="K81" s="464"/>
      <c r="L81" s="249"/>
      <c r="M81" s="51"/>
    </row>
    <row r="82" spans="1:13" ht="39">
      <c r="A82" s="53"/>
      <c r="B82" s="54" t="s">
        <v>413</v>
      </c>
      <c r="C82" s="166" t="s">
        <v>144</v>
      </c>
      <c r="D82" s="166" t="s">
        <v>167</v>
      </c>
      <c r="E82" s="55" t="s">
        <v>356</v>
      </c>
      <c r="F82" s="82">
        <v>65</v>
      </c>
      <c r="G82" s="48">
        <f t="shared" si="5"/>
        <v>77.74</v>
      </c>
      <c r="H82" s="56">
        <v>1</v>
      </c>
      <c r="I82" s="57">
        <f t="shared" si="4"/>
        <v>77.74</v>
      </c>
      <c r="K82" s="181"/>
      <c r="L82" s="249"/>
      <c r="M82" s="51"/>
    </row>
    <row r="83" spans="1:13" ht="26.25">
      <c r="A83" s="53"/>
      <c r="B83" s="54" t="s">
        <v>414</v>
      </c>
      <c r="C83" s="166" t="s">
        <v>144</v>
      </c>
      <c r="D83" s="166" t="s">
        <v>168</v>
      </c>
      <c r="E83" s="55" t="s">
        <v>356</v>
      </c>
      <c r="F83" s="82">
        <v>69.28</v>
      </c>
      <c r="G83" s="48">
        <f t="shared" si="5"/>
        <v>82.86</v>
      </c>
      <c r="H83" s="56">
        <v>1</v>
      </c>
      <c r="I83" s="57">
        <f t="shared" si="4"/>
        <v>82.86</v>
      </c>
      <c r="K83" s="181"/>
      <c r="L83" s="249"/>
      <c r="M83" s="51"/>
    </row>
    <row r="84" spans="1:13" ht="26.25">
      <c r="A84" s="53" t="s">
        <v>415</v>
      </c>
      <c r="B84" s="54" t="s">
        <v>416</v>
      </c>
      <c r="C84" s="166" t="s">
        <v>144</v>
      </c>
      <c r="D84" s="166" t="s">
        <v>169</v>
      </c>
      <c r="E84" s="55" t="s">
        <v>356</v>
      </c>
      <c r="F84" s="82">
        <v>13.8</v>
      </c>
      <c r="G84" s="48">
        <f t="shared" si="5"/>
        <v>16.5</v>
      </c>
      <c r="H84" s="56">
        <v>3</v>
      </c>
      <c r="I84" s="57">
        <f t="shared" si="4"/>
        <v>49.5</v>
      </c>
      <c r="K84" s="181"/>
      <c r="L84" s="249"/>
      <c r="M84" s="51"/>
    </row>
    <row r="85" spans="1:13" ht="26.25">
      <c r="A85" s="53" t="s">
        <v>417</v>
      </c>
      <c r="B85" s="54" t="s">
        <v>418</v>
      </c>
      <c r="C85" s="166" t="s">
        <v>144</v>
      </c>
      <c r="D85" s="166" t="s">
        <v>170</v>
      </c>
      <c r="E85" s="55" t="s">
        <v>356</v>
      </c>
      <c r="F85" s="82">
        <v>72.45</v>
      </c>
      <c r="G85" s="48">
        <f t="shared" si="5"/>
        <v>86.65</v>
      </c>
      <c r="H85" s="56">
        <v>0.08333333333333333</v>
      </c>
      <c r="I85" s="57">
        <f aca="true" t="shared" si="6" ref="I85:I113">ROUND(G85*H85,2)</f>
        <v>7.22</v>
      </c>
      <c r="K85" s="181"/>
      <c r="L85" s="249"/>
      <c r="M85" s="51"/>
    </row>
    <row r="86" spans="1:13" ht="51.75">
      <c r="A86" s="53" t="s">
        <v>419</v>
      </c>
      <c r="B86" s="54" t="s">
        <v>686</v>
      </c>
      <c r="C86" s="166" t="s">
        <v>149</v>
      </c>
      <c r="D86" s="166">
        <v>12358</v>
      </c>
      <c r="E86" s="55" t="s">
        <v>867</v>
      </c>
      <c r="F86" s="82">
        <v>63.27</v>
      </c>
      <c r="G86" s="48">
        <f t="shared" si="5"/>
        <v>75.67</v>
      </c>
      <c r="H86" s="56">
        <v>0.08333333333333333</v>
      </c>
      <c r="I86" s="57">
        <f t="shared" si="6"/>
        <v>6.31</v>
      </c>
      <c r="K86" s="181"/>
      <c r="L86" s="249"/>
      <c r="M86" s="51"/>
    </row>
    <row r="87" spans="1:13" ht="51.75">
      <c r="A87" s="53" t="s">
        <v>420</v>
      </c>
      <c r="B87" s="54" t="s">
        <v>687</v>
      </c>
      <c r="C87" s="166" t="s">
        <v>149</v>
      </c>
      <c r="D87" s="166">
        <v>38061</v>
      </c>
      <c r="E87" s="55" t="s">
        <v>867</v>
      </c>
      <c r="F87" s="82">
        <v>47.31</v>
      </c>
      <c r="G87" s="48">
        <f t="shared" si="5"/>
        <v>56.58</v>
      </c>
      <c r="H87" s="56">
        <v>0.16666666666666666</v>
      </c>
      <c r="I87" s="57">
        <f t="shared" si="6"/>
        <v>9.43</v>
      </c>
      <c r="K87" s="464"/>
      <c r="L87" s="249"/>
      <c r="M87" s="51"/>
    </row>
    <row r="88" spans="1:13" ht="26.25">
      <c r="A88" s="53"/>
      <c r="B88" s="54" t="s">
        <v>709</v>
      </c>
      <c r="C88" s="166" t="s">
        <v>149</v>
      </c>
      <c r="D88" s="166">
        <v>10956</v>
      </c>
      <c r="E88" s="55" t="s">
        <v>867</v>
      </c>
      <c r="F88" s="82">
        <v>58.72</v>
      </c>
      <c r="G88" s="48">
        <f t="shared" si="5"/>
        <v>70.23</v>
      </c>
      <c r="H88" s="56">
        <v>0.041666666666666664</v>
      </c>
      <c r="I88" s="57">
        <f t="shared" si="6"/>
        <v>2.93</v>
      </c>
      <c r="K88" s="464"/>
      <c r="L88" s="249"/>
      <c r="M88" s="51"/>
    </row>
    <row r="89" spans="1:13" ht="39">
      <c r="A89" s="53"/>
      <c r="B89" s="54" t="s">
        <v>421</v>
      </c>
      <c r="C89" s="166" t="s">
        <v>144</v>
      </c>
      <c r="D89" s="166" t="s">
        <v>171</v>
      </c>
      <c r="E89" s="55" t="s">
        <v>356</v>
      </c>
      <c r="F89" s="82">
        <v>111.43</v>
      </c>
      <c r="G89" s="48">
        <f t="shared" si="5"/>
        <v>133.27</v>
      </c>
      <c r="H89" s="56">
        <v>0.041666666666666664</v>
      </c>
      <c r="I89" s="57">
        <f t="shared" si="6"/>
        <v>5.55</v>
      </c>
      <c r="K89" s="181"/>
      <c r="L89" s="249"/>
      <c r="M89" s="51"/>
    </row>
    <row r="90" spans="1:13" ht="26.25">
      <c r="A90" s="53"/>
      <c r="B90" s="54" t="s">
        <v>850</v>
      </c>
      <c r="C90" s="166" t="s">
        <v>144</v>
      </c>
      <c r="D90" s="166" t="s">
        <v>849</v>
      </c>
      <c r="E90" s="55" t="s">
        <v>356</v>
      </c>
      <c r="F90" s="82">
        <v>39.2</v>
      </c>
      <c r="G90" s="48">
        <f t="shared" si="5"/>
        <v>46.88</v>
      </c>
      <c r="H90" s="56">
        <v>0.16666666666666666</v>
      </c>
      <c r="I90" s="57">
        <f t="shared" si="6"/>
        <v>7.81</v>
      </c>
      <c r="K90" s="181"/>
      <c r="L90" s="249"/>
      <c r="M90" s="51"/>
    </row>
    <row r="91" spans="1:13" ht="26.25">
      <c r="A91" s="53"/>
      <c r="B91" s="54" t="s">
        <v>422</v>
      </c>
      <c r="C91" s="166" t="s">
        <v>149</v>
      </c>
      <c r="D91" s="166">
        <v>2674</v>
      </c>
      <c r="E91" s="55" t="s">
        <v>869</v>
      </c>
      <c r="F91" s="82">
        <v>5.35</v>
      </c>
      <c r="G91" s="48">
        <f t="shared" si="5"/>
        <v>6.4</v>
      </c>
      <c r="H91" s="56">
        <v>10</v>
      </c>
      <c r="I91" s="57">
        <f t="shared" si="6"/>
        <v>64</v>
      </c>
      <c r="K91" s="464"/>
      <c r="L91" s="249"/>
      <c r="M91" s="51"/>
    </row>
    <row r="92" spans="1:13" ht="26.25">
      <c r="A92" s="53"/>
      <c r="B92" s="54" t="s">
        <v>423</v>
      </c>
      <c r="C92" s="166" t="s">
        <v>149</v>
      </c>
      <c r="D92" s="166">
        <v>2685</v>
      </c>
      <c r="E92" s="55" t="s">
        <v>869</v>
      </c>
      <c r="F92" s="82">
        <v>8.37</v>
      </c>
      <c r="G92" s="48">
        <f t="shared" si="5"/>
        <v>10.01</v>
      </c>
      <c r="H92" s="56">
        <v>3</v>
      </c>
      <c r="I92" s="57">
        <f t="shared" si="6"/>
        <v>30.03</v>
      </c>
      <c r="K92" s="464"/>
      <c r="L92" s="249"/>
      <c r="M92" s="51"/>
    </row>
    <row r="93" spans="1:13" ht="26.25">
      <c r="A93" s="53"/>
      <c r="B93" s="54" t="s">
        <v>424</v>
      </c>
      <c r="C93" s="166" t="s">
        <v>149</v>
      </c>
      <c r="D93" s="166">
        <v>2684</v>
      </c>
      <c r="E93" s="55" t="s">
        <v>869</v>
      </c>
      <c r="F93" s="82">
        <v>11.14</v>
      </c>
      <c r="G93" s="48">
        <f t="shared" si="5"/>
        <v>13.32</v>
      </c>
      <c r="H93" s="56">
        <v>3</v>
      </c>
      <c r="I93" s="57">
        <f t="shared" si="6"/>
        <v>39.96</v>
      </c>
      <c r="K93" s="464"/>
      <c r="L93" s="249"/>
      <c r="M93" s="51"/>
    </row>
    <row r="94" spans="1:13" ht="26.25">
      <c r="A94" s="53"/>
      <c r="B94" s="54" t="s">
        <v>425</v>
      </c>
      <c r="C94" s="166" t="s">
        <v>149</v>
      </c>
      <c r="D94" s="166">
        <v>2680</v>
      </c>
      <c r="E94" s="55" t="s">
        <v>869</v>
      </c>
      <c r="F94" s="82">
        <v>12.24</v>
      </c>
      <c r="G94" s="48">
        <f t="shared" si="5"/>
        <v>14.64</v>
      </c>
      <c r="H94" s="56">
        <v>3</v>
      </c>
      <c r="I94" s="57">
        <f t="shared" si="6"/>
        <v>43.92</v>
      </c>
      <c r="K94" s="464"/>
      <c r="L94" s="249"/>
      <c r="M94" s="51"/>
    </row>
    <row r="95" spans="1:13" ht="26.25">
      <c r="A95" s="53"/>
      <c r="B95" s="54" t="s">
        <v>426</v>
      </c>
      <c r="C95" s="166" t="s">
        <v>149</v>
      </c>
      <c r="D95" s="166">
        <v>2681</v>
      </c>
      <c r="E95" s="55" t="s">
        <v>869</v>
      </c>
      <c r="F95" s="82">
        <v>20.01</v>
      </c>
      <c r="G95" s="48">
        <f t="shared" si="5"/>
        <v>23.93</v>
      </c>
      <c r="H95" s="56">
        <v>3</v>
      </c>
      <c r="I95" s="57">
        <f t="shared" si="6"/>
        <v>71.79</v>
      </c>
      <c r="K95" s="464"/>
      <c r="L95" s="249"/>
      <c r="M95" s="51"/>
    </row>
    <row r="96" spans="1:13" ht="26.25">
      <c r="A96" s="53"/>
      <c r="B96" s="54" t="s">
        <v>427</v>
      </c>
      <c r="C96" s="166" t="s">
        <v>149</v>
      </c>
      <c r="D96" s="166">
        <v>2682</v>
      </c>
      <c r="E96" s="55" t="s">
        <v>869</v>
      </c>
      <c r="F96" s="82">
        <v>29.19</v>
      </c>
      <c r="G96" s="48">
        <f t="shared" si="5"/>
        <v>34.91</v>
      </c>
      <c r="H96" s="56">
        <v>1</v>
      </c>
      <c r="I96" s="57">
        <f t="shared" si="6"/>
        <v>34.91</v>
      </c>
      <c r="K96" s="464"/>
      <c r="L96" s="249"/>
      <c r="M96" s="51"/>
    </row>
    <row r="97" spans="1:13" ht="26.25">
      <c r="A97" s="53"/>
      <c r="B97" s="54" t="s">
        <v>428</v>
      </c>
      <c r="C97" s="166" t="s">
        <v>149</v>
      </c>
      <c r="D97" s="166">
        <v>2686</v>
      </c>
      <c r="E97" s="55" t="s">
        <v>869</v>
      </c>
      <c r="F97" s="82">
        <v>36.61</v>
      </c>
      <c r="G97" s="48">
        <f t="shared" si="5"/>
        <v>43.79</v>
      </c>
      <c r="H97" s="56">
        <v>1</v>
      </c>
      <c r="I97" s="57">
        <f t="shared" si="6"/>
        <v>43.79</v>
      </c>
      <c r="K97" s="464"/>
      <c r="L97" s="249"/>
      <c r="M97" s="51"/>
    </row>
    <row r="98" spans="1:13" ht="26.25">
      <c r="A98" s="53"/>
      <c r="B98" s="54" t="s">
        <v>429</v>
      </c>
      <c r="C98" s="166" t="s">
        <v>149</v>
      </c>
      <c r="D98" s="166">
        <v>2683</v>
      </c>
      <c r="E98" s="55" t="s">
        <v>869</v>
      </c>
      <c r="F98" s="82">
        <v>57.68</v>
      </c>
      <c r="G98" s="48">
        <f t="shared" si="5"/>
        <v>68.99</v>
      </c>
      <c r="H98" s="56">
        <v>1</v>
      </c>
      <c r="I98" s="57">
        <f t="shared" si="6"/>
        <v>68.99</v>
      </c>
      <c r="K98" s="464"/>
      <c r="L98" s="249"/>
      <c r="M98" s="51"/>
    </row>
    <row r="99" spans="1:13" ht="26.25">
      <c r="A99" s="53"/>
      <c r="B99" s="54" t="s">
        <v>430</v>
      </c>
      <c r="C99" s="166" t="s">
        <v>149</v>
      </c>
      <c r="D99" s="166">
        <v>1891</v>
      </c>
      <c r="E99" s="55" t="s">
        <v>867</v>
      </c>
      <c r="F99" s="82">
        <v>1.23</v>
      </c>
      <c r="G99" s="48">
        <f t="shared" si="5"/>
        <v>1.47</v>
      </c>
      <c r="H99" s="56">
        <v>3</v>
      </c>
      <c r="I99" s="57">
        <f t="shared" si="6"/>
        <v>4.41</v>
      </c>
      <c r="K99" s="464"/>
      <c r="L99" s="249"/>
      <c r="M99" s="51"/>
    </row>
    <row r="100" spans="1:13" ht="26.25">
      <c r="A100" s="53"/>
      <c r="B100" s="54" t="s">
        <v>431</v>
      </c>
      <c r="C100" s="166" t="s">
        <v>149</v>
      </c>
      <c r="D100" s="166">
        <v>1892</v>
      </c>
      <c r="E100" s="55" t="s">
        <v>867</v>
      </c>
      <c r="F100" s="82">
        <v>1.72</v>
      </c>
      <c r="G100" s="48">
        <f aca="true" t="shared" si="7" ref="G100:G131">ROUND(F100*(1+$G$320),2)</f>
        <v>2.06</v>
      </c>
      <c r="H100" s="56">
        <v>3</v>
      </c>
      <c r="I100" s="57">
        <f t="shared" si="6"/>
        <v>6.18</v>
      </c>
      <c r="K100" s="464"/>
      <c r="L100" s="249"/>
      <c r="M100" s="51"/>
    </row>
    <row r="101" spans="1:13" ht="26.25">
      <c r="A101" s="53"/>
      <c r="B101" s="54" t="s">
        <v>432</v>
      </c>
      <c r="C101" s="166" t="s">
        <v>149</v>
      </c>
      <c r="D101" s="166">
        <v>1902</v>
      </c>
      <c r="E101" s="55" t="s">
        <v>867</v>
      </c>
      <c r="F101" s="82">
        <v>2.67</v>
      </c>
      <c r="G101" s="48">
        <f t="shared" si="7"/>
        <v>3.19</v>
      </c>
      <c r="H101" s="56">
        <v>3</v>
      </c>
      <c r="I101" s="57">
        <f t="shared" si="6"/>
        <v>9.57</v>
      </c>
      <c r="K101" s="464"/>
      <c r="L101" s="249"/>
      <c r="M101" s="51"/>
    </row>
    <row r="102" spans="1:13" ht="26.25">
      <c r="A102" s="53"/>
      <c r="B102" s="54" t="s">
        <v>433</v>
      </c>
      <c r="C102" s="166" t="s">
        <v>149</v>
      </c>
      <c r="D102" s="166">
        <v>1893</v>
      </c>
      <c r="E102" s="55" t="s">
        <v>867</v>
      </c>
      <c r="F102" s="82">
        <v>3.66</v>
      </c>
      <c r="G102" s="48">
        <f t="shared" si="7"/>
        <v>4.38</v>
      </c>
      <c r="H102" s="56">
        <v>3</v>
      </c>
      <c r="I102" s="57">
        <f t="shared" si="6"/>
        <v>13.14</v>
      </c>
      <c r="K102" s="464"/>
      <c r="L102" s="249"/>
      <c r="M102" s="51"/>
    </row>
    <row r="103" spans="1:13" ht="26.25">
      <c r="A103" s="53"/>
      <c r="B103" s="54" t="s">
        <v>434</v>
      </c>
      <c r="C103" s="166" t="s">
        <v>149</v>
      </c>
      <c r="D103" s="166">
        <v>1894</v>
      </c>
      <c r="E103" s="55" t="s">
        <v>867</v>
      </c>
      <c r="F103" s="82">
        <v>5.3</v>
      </c>
      <c r="G103" s="48">
        <f t="shared" si="7"/>
        <v>6.34</v>
      </c>
      <c r="H103" s="56">
        <v>1</v>
      </c>
      <c r="I103" s="57">
        <f t="shared" si="6"/>
        <v>6.34</v>
      </c>
      <c r="K103" s="464"/>
      <c r="L103" s="249"/>
      <c r="M103" s="51"/>
    </row>
    <row r="104" spans="1:13" ht="26.25">
      <c r="A104" s="53"/>
      <c r="B104" s="54" t="s">
        <v>435</v>
      </c>
      <c r="C104" s="166" t="s">
        <v>149</v>
      </c>
      <c r="D104" s="166">
        <v>1907</v>
      </c>
      <c r="E104" s="55" t="s">
        <v>867</v>
      </c>
      <c r="F104" s="82">
        <v>11.8</v>
      </c>
      <c r="G104" s="48">
        <f t="shared" si="7"/>
        <v>14.11</v>
      </c>
      <c r="H104" s="56">
        <v>1</v>
      </c>
      <c r="I104" s="57">
        <f t="shared" si="6"/>
        <v>14.11</v>
      </c>
      <c r="K104" s="464"/>
      <c r="L104" s="249"/>
      <c r="M104" s="51"/>
    </row>
    <row r="105" spans="1:13" ht="26.25">
      <c r="A105" s="53" t="s">
        <v>436</v>
      </c>
      <c r="B105" s="54" t="s">
        <v>436</v>
      </c>
      <c r="C105" s="166" t="s">
        <v>144</v>
      </c>
      <c r="D105" s="166" t="s">
        <v>172</v>
      </c>
      <c r="E105" s="55" t="s">
        <v>356</v>
      </c>
      <c r="F105" s="82">
        <v>105.2</v>
      </c>
      <c r="G105" s="48">
        <f t="shared" si="7"/>
        <v>125.82</v>
      </c>
      <c r="H105" s="56">
        <v>0.08333333333333333</v>
      </c>
      <c r="I105" s="57">
        <f t="shared" si="6"/>
        <v>10.49</v>
      </c>
      <c r="K105" s="181"/>
      <c r="L105" s="249"/>
      <c r="M105" s="51"/>
    </row>
    <row r="106" spans="1:13" ht="64.5">
      <c r="A106" s="53"/>
      <c r="B106" s="54" t="s">
        <v>437</v>
      </c>
      <c r="C106" s="166" t="s">
        <v>149</v>
      </c>
      <c r="D106" s="166">
        <v>1612</v>
      </c>
      <c r="E106" s="55" t="s">
        <v>867</v>
      </c>
      <c r="F106" s="82">
        <v>121</v>
      </c>
      <c r="G106" s="48">
        <f t="shared" si="7"/>
        <v>144.72</v>
      </c>
      <c r="H106" s="56">
        <v>0.3333333333333333</v>
      </c>
      <c r="I106" s="57">
        <f t="shared" si="6"/>
        <v>48.24</v>
      </c>
      <c r="K106" s="464"/>
      <c r="L106" s="249"/>
      <c r="M106" s="51"/>
    </row>
    <row r="107" spans="1:13" ht="39">
      <c r="A107" s="53"/>
      <c r="B107" s="54" t="s">
        <v>438</v>
      </c>
      <c r="C107" s="166" t="s">
        <v>149</v>
      </c>
      <c r="D107" s="166">
        <v>1623</v>
      </c>
      <c r="E107" s="55" t="s">
        <v>867</v>
      </c>
      <c r="F107" s="82">
        <v>128.49</v>
      </c>
      <c r="G107" s="48">
        <f t="shared" si="7"/>
        <v>153.67</v>
      </c>
      <c r="H107" s="56">
        <v>0.3333333333333333</v>
      </c>
      <c r="I107" s="57">
        <f t="shared" si="6"/>
        <v>51.22</v>
      </c>
      <c r="K107" s="464"/>
      <c r="L107" s="249"/>
      <c r="M107" s="51"/>
    </row>
    <row r="108" spans="1:13" ht="39">
      <c r="A108" s="53"/>
      <c r="B108" s="54" t="s">
        <v>439</v>
      </c>
      <c r="C108" s="166" t="s">
        <v>149</v>
      </c>
      <c r="D108" s="166">
        <v>1625</v>
      </c>
      <c r="E108" s="55" t="s">
        <v>867</v>
      </c>
      <c r="F108" s="82">
        <v>157.55</v>
      </c>
      <c r="G108" s="48">
        <f t="shared" si="7"/>
        <v>188.43</v>
      </c>
      <c r="H108" s="56">
        <v>0.3333333333333333</v>
      </c>
      <c r="I108" s="57">
        <f t="shared" si="6"/>
        <v>62.81</v>
      </c>
      <c r="K108" s="464"/>
      <c r="L108" s="249"/>
      <c r="M108" s="51"/>
    </row>
    <row r="109" spans="1:13" ht="39">
      <c r="A109" s="53"/>
      <c r="B109" s="54" t="s">
        <v>440</v>
      </c>
      <c r="C109" s="166" t="s">
        <v>149</v>
      </c>
      <c r="D109" s="166">
        <v>1619</v>
      </c>
      <c r="E109" s="55" t="s">
        <v>867</v>
      </c>
      <c r="F109" s="82">
        <v>176.74</v>
      </c>
      <c r="G109" s="48">
        <f t="shared" si="7"/>
        <v>211.38</v>
      </c>
      <c r="H109" s="56">
        <v>0.08333333333333333</v>
      </c>
      <c r="I109" s="57">
        <f t="shared" si="6"/>
        <v>17.62</v>
      </c>
      <c r="K109" s="464"/>
      <c r="L109" s="249"/>
      <c r="M109" s="51"/>
    </row>
    <row r="110" spans="1:13" ht="39">
      <c r="A110" s="53"/>
      <c r="B110" s="54" t="s">
        <v>441</v>
      </c>
      <c r="C110" s="166" t="s">
        <v>149</v>
      </c>
      <c r="D110" s="166">
        <v>1614</v>
      </c>
      <c r="E110" s="55" t="s">
        <v>867</v>
      </c>
      <c r="F110" s="82">
        <v>273.54</v>
      </c>
      <c r="G110" s="48">
        <f t="shared" si="7"/>
        <v>327.15</v>
      </c>
      <c r="H110" s="56">
        <v>0.08333333333333333</v>
      </c>
      <c r="I110" s="57">
        <f t="shared" si="6"/>
        <v>27.26</v>
      </c>
      <c r="K110" s="464"/>
      <c r="L110" s="249"/>
      <c r="M110" s="51"/>
    </row>
    <row r="111" spans="1:13" ht="39">
      <c r="A111" s="53"/>
      <c r="B111" s="54" t="s">
        <v>442</v>
      </c>
      <c r="C111" s="166" t="s">
        <v>149</v>
      </c>
      <c r="D111" s="166">
        <v>1621</v>
      </c>
      <c r="E111" s="55" t="s">
        <v>867</v>
      </c>
      <c r="F111" s="82">
        <v>489.22</v>
      </c>
      <c r="G111" s="48">
        <f t="shared" si="7"/>
        <v>585.11</v>
      </c>
      <c r="H111" s="56">
        <v>0.08333333333333333</v>
      </c>
      <c r="I111" s="57">
        <f t="shared" si="6"/>
        <v>48.76</v>
      </c>
      <c r="K111" s="464"/>
      <c r="L111" s="249"/>
      <c r="M111" s="51"/>
    </row>
    <row r="112" spans="1:13" ht="39">
      <c r="A112" s="53"/>
      <c r="B112" s="54" t="s">
        <v>710</v>
      </c>
      <c r="C112" s="166" t="s">
        <v>149</v>
      </c>
      <c r="D112" s="166">
        <v>1627</v>
      </c>
      <c r="E112" s="55" t="s">
        <v>867</v>
      </c>
      <c r="F112" s="82">
        <v>634.38</v>
      </c>
      <c r="G112" s="48">
        <f t="shared" si="7"/>
        <v>758.72</v>
      </c>
      <c r="H112" s="56">
        <v>0.08333333333333333</v>
      </c>
      <c r="I112" s="57">
        <f t="shared" si="6"/>
        <v>63.23</v>
      </c>
      <c r="K112" s="464"/>
      <c r="L112" s="249"/>
      <c r="M112" s="51"/>
    </row>
    <row r="113" spans="1:13" ht="39">
      <c r="A113" s="53"/>
      <c r="B113" s="54" t="s">
        <v>443</v>
      </c>
      <c r="C113" s="166" t="s">
        <v>149</v>
      </c>
      <c r="D113" s="166">
        <v>1615</v>
      </c>
      <c r="E113" s="55" t="s">
        <v>867</v>
      </c>
      <c r="F113" s="82">
        <v>918.69</v>
      </c>
      <c r="G113" s="48">
        <f t="shared" si="7"/>
        <v>1098.75</v>
      </c>
      <c r="H113" s="56">
        <v>0.041666666666666664</v>
      </c>
      <c r="I113" s="57">
        <f t="shared" si="6"/>
        <v>45.78</v>
      </c>
      <c r="K113" s="464"/>
      <c r="L113" s="249"/>
      <c r="M113" s="51"/>
    </row>
    <row r="114" spans="1:13" ht="39">
      <c r="A114" s="53" t="s">
        <v>444</v>
      </c>
      <c r="B114" s="54" t="s">
        <v>39</v>
      </c>
      <c r="C114" s="166" t="s">
        <v>149</v>
      </c>
      <c r="D114" s="166">
        <v>1626</v>
      </c>
      <c r="E114" s="55" t="s">
        <v>867</v>
      </c>
      <c r="F114" s="82">
        <v>2255.66</v>
      </c>
      <c r="G114" s="48">
        <f t="shared" si="7"/>
        <v>2697.77</v>
      </c>
      <c r="H114" s="56">
        <v>0.016666666666666666</v>
      </c>
      <c r="I114" s="57">
        <f aca="true" t="shared" si="8" ref="I114:I145">ROUND(G114*H114,2)</f>
        <v>44.96</v>
      </c>
      <c r="K114" s="464"/>
      <c r="L114" s="249"/>
      <c r="M114" s="51"/>
    </row>
    <row r="115" spans="1:13" ht="26.25">
      <c r="A115" s="53"/>
      <c r="B115" s="54" t="s">
        <v>446</v>
      </c>
      <c r="C115" s="166" t="s">
        <v>144</v>
      </c>
      <c r="D115" s="166" t="s">
        <v>173</v>
      </c>
      <c r="E115" s="55" t="s">
        <v>356</v>
      </c>
      <c r="F115" s="82">
        <v>92.25</v>
      </c>
      <c r="G115" s="48">
        <f t="shared" si="7"/>
        <v>110.33</v>
      </c>
      <c r="H115" s="56">
        <v>0.041666666666666664</v>
      </c>
      <c r="I115" s="57">
        <f t="shared" si="8"/>
        <v>4.6</v>
      </c>
      <c r="K115" s="181"/>
      <c r="L115" s="249"/>
      <c r="M115" s="51"/>
    </row>
    <row r="116" spans="1:13" ht="26.25">
      <c r="A116" s="53"/>
      <c r="B116" s="54" t="s">
        <v>447</v>
      </c>
      <c r="C116" s="166" t="s">
        <v>144</v>
      </c>
      <c r="D116" s="166" t="s">
        <v>174</v>
      </c>
      <c r="E116" s="55" t="s">
        <v>356</v>
      </c>
      <c r="F116" s="82">
        <v>190.8</v>
      </c>
      <c r="G116" s="48">
        <f t="shared" si="7"/>
        <v>228.2</v>
      </c>
      <c r="H116" s="56">
        <v>0.041666666666666664</v>
      </c>
      <c r="I116" s="57">
        <f t="shared" si="8"/>
        <v>9.51</v>
      </c>
      <c r="K116" s="181"/>
      <c r="L116" s="249"/>
      <c r="M116" s="51"/>
    </row>
    <row r="117" spans="1:13" ht="26.25">
      <c r="A117" s="53"/>
      <c r="B117" s="54" t="s">
        <v>448</v>
      </c>
      <c r="C117" s="166" t="s">
        <v>144</v>
      </c>
      <c r="D117" s="166" t="s">
        <v>175</v>
      </c>
      <c r="E117" s="55" t="s">
        <v>356</v>
      </c>
      <c r="F117" s="82">
        <v>102</v>
      </c>
      <c r="G117" s="48">
        <f t="shared" si="7"/>
        <v>121.99</v>
      </c>
      <c r="H117" s="56">
        <v>0.041666666666666664</v>
      </c>
      <c r="I117" s="57">
        <f t="shared" si="8"/>
        <v>5.08</v>
      </c>
      <c r="K117" s="181"/>
      <c r="L117" s="249"/>
      <c r="M117" s="51"/>
    </row>
    <row r="118" spans="1:13" ht="39">
      <c r="A118" s="53"/>
      <c r="B118" s="54" t="s">
        <v>449</v>
      </c>
      <c r="C118" s="166" t="s">
        <v>144</v>
      </c>
      <c r="D118" s="166" t="s">
        <v>176</v>
      </c>
      <c r="E118" s="55" t="s">
        <v>356</v>
      </c>
      <c r="F118" s="82">
        <v>74.26</v>
      </c>
      <c r="G118" s="48">
        <f t="shared" si="7"/>
        <v>88.81</v>
      </c>
      <c r="H118" s="56">
        <v>0.041666666666666664</v>
      </c>
      <c r="I118" s="57">
        <f t="shared" si="8"/>
        <v>3.7</v>
      </c>
      <c r="K118" s="181"/>
      <c r="L118" s="249"/>
      <c r="M118" s="51"/>
    </row>
    <row r="119" spans="1:13" ht="26.25">
      <c r="A119" s="53"/>
      <c r="B119" s="54" t="s">
        <v>450</v>
      </c>
      <c r="C119" s="166" t="s">
        <v>144</v>
      </c>
      <c r="D119" s="166" t="s">
        <v>177</v>
      </c>
      <c r="E119" s="55" t="s">
        <v>384</v>
      </c>
      <c r="F119" s="82">
        <v>9.06</v>
      </c>
      <c r="G119" s="48">
        <f t="shared" si="7"/>
        <v>10.84</v>
      </c>
      <c r="H119" s="56">
        <v>0.16666666666666666</v>
      </c>
      <c r="I119" s="57">
        <f t="shared" si="8"/>
        <v>1.81</v>
      </c>
      <c r="K119" s="181"/>
      <c r="L119" s="249"/>
      <c r="M119" s="51"/>
    </row>
    <row r="120" spans="1:13" ht="26.25">
      <c r="A120" s="53"/>
      <c r="B120" s="54" t="s">
        <v>451</v>
      </c>
      <c r="C120" s="166" t="s">
        <v>144</v>
      </c>
      <c r="D120" s="166" t="s">
        <v>178</v>
      </c>
      <c r="E120" s="55" t="s">
        <v>356</v>
      </c>
      <c r="F120" s="82">
        <v>142.39</v>
      </c>
      <c r="G120" s="48">
        <f t="shared" si="7"/>
        <v>170.3</v>
      </c>
      <c r="H120" s="56">
        <v>0.041666666666666664</v>
      </c>
      <c r="I120" s="57">
        <f t="shared" si="8"/>
        <v>7.1</v>
      </c>
      <c r="K120" s="181"/>
      <c r="L120" s="249"/>
      <c r="M120" s="51"/>
    </row>
    <row r="121" spans="1:13" ht="26.25">
      <c r="A121" s="53"/>
      <c r="B121" s="54" t="s">
        <v>452</v>
      </c>
      <c r="C121" s="166" t="s">
        <v>144</v>
      </c>
      <c r="D121" s="166" t="s">
        <v>179</v>
      </c>
      <c r="E121" s="55" t="s">
        <v>356</v>
      </c>
      <c r="F121" s="82">
        <v>92.06</v>
      </c>
      <c r="G121" s="48">
        <f t="shared" si="7"/>
        <v>110.1</v>
      </c>
      <c r="H121" s="56">
        <v>0.041666666666666664</v>
      </c>
      <c r="I121" s="57">
        <f t="shared" si="8"/>
        <v>4.59</v>
      </c>
      <c r="K121" s="181"/>
      <c r="L121" s="249"/>
      <c r="M121" s="51"/>
    </row>
    <row r="122" spans="1:13" ht="26.25">
      <c r="A122" s="53"/>
      <c r="B122" s="54" t="s">
        <v>453</v>
      </c>
      <c r="C122" s="166" t="s">
        <v>144</v>
      </c>
      <c r="D122" s="166" t="s">
        <v>180</v>
      </c>
      <c r="E122" s="55" t="s">
        <v>356</v>
      </c>
      <c r="F122" s="82">
        <v>113.07</v>
      </c>
      <c r="G122" s="48">
        <f t="shared" si="7"/>
        <v>135.23</v>
      </c>
      <c r="H122" s="56">
        <v>0.041666666666666664</v>
      </c>
      <c r="I122" s="57">
        <f t="shared" si="8"/>
        <v>5.63</v>
      </c>
      <c r="K122" s="181"/>
      <c r="L122" s="249"/>
      <c r="M122" s="51"/>
    </row>
    <row r="123" spans="1:13" ht="26.25">
      <c r="A123" s="53"/>
      <c r="B123" s="54" t="s">
        <v>454</v>
      </c>
      <c r="C123" s="166" t="s">
        <v>144</v>
      </c>
      <c r="D123" s="166" t="s">
        <v>181</v>
      </c>
      <c r="E123" s="55" t="s">
        <v>356</v>
      </c>
      <c r="F123" s="82">
        <v>921.19</v>
      </c>
      <c r="G123" s="48">
        <f t="shared" si="7"/>
        <v>1101.74</v>
      </c>
      <c r="H123" s="56">
        <v>0.01</v>
      </c>
      <c r="I123" s="57">
        <f t="shared" si="8"/>
        <v>11.02</v>
      </c>
      <c r="K123" s="181"/>
      <c r="L123" s="249"/>
      <c r="M123" s="51"/>
    </row>
    <row r="124" spans="1:13" ht="26.25">
      <c r="A124" s="53"/>
      <c r="B124" s="54" t="s">
        <v>455</v>
      </c>
      <c r="C124" s="166" t="s">
        <v>144</v>
      </c>
      <c r="D124" s="166" t="s">
        <v>182</v>
      </c>
      <c r="E124" s="55" t="s">
        <v>356</v>
      </c>
      <c r="F124" s="82">
        <v>1280.45</v>
      </c>
      <c r="G124" s="48">
        <f t="shared" si="7"/>
        <v>1531.42</v>
      </c>
      <c r="H124" s="56">
        <v>0.01</v>
      </c>
      <c r="I124" s="57">
        <f t="shared" si="8"/>
        <v>15.31</v>
      </c>
      <c r="K124" s="181"/>
      <c r="L124" s="249"/>
      <c r="M124" s="51"/>
    </row>
    <row r="125" spans="1:13" ht="51.75">
      <c r="A125" s="53"/>
      <c r="B125" s="54" t="s">
        <v>456</v>
      </c>
      <c r="C125" s="166" t="s">
        <v>144</v>
      </c>
      <c r="D125" s="166" t="s">
        <v>183</v>
      </c>
      <c r="E125" s="55" t="s">
        <v>356</v>
      </c>
      <c r="F125" s="82">
        <v>19797.17</v>
      </c>
      <c r="G125" s="48">
        <f t="shared" si="7"/>
        <v>23677.42</v>
      </c>
      <c r="H125" s="56">
        <v>0.01</v>
      </c>
      <c r="I125" s="57">
        <f t="shared" si="8"/>
        <v>236.77</v>
      </c>
      <c r="K125" s="181"/>
      <c r="L125" s="249"/>
      <c r="M125" s="51"/>
    </row>
    <row r="126" spans="1:13" ht="51.75">
      <c r="A126" s="53"/>
      <c r="B126" s="54" t="s">
        <v>457</v>
      </c>
      <c r="C126" s="166" t="s">
        <v>144</v>
      </c>
      <c r="D126" s="166" t="s">
        <v>184</v>
      </c>
      <c r="E126" s="55" t="s">
        <v>356</v>
      </c>
      <c r="F126" s="82">
        <v>12096.07</v>
      </c>
      <c r="G126" s="48">
        <f t="shared" si="7"/>
        <v>14466.9</v>
      </c>
      <c r="H126" s="56">
        <v>0.01</v>
      </c>
      <c r="I126" s="57">
        <f t="shared" si="8"/>
        <v>144.67</v>
      </c>
      <c r="K126" s="181"/>
      <c r="L126" s="249"/>
      <c r="M126" s="51"/>
    </row>
    <row r="127" spans="1:13" ht="51.75">
      <c r="A127" s="53"/>
      <c r="B127" s="54" t="s">
        <v>458</v>
      </c>
      <c r="C127" s="166" t="s">
        <v>144</v>
      </c>
      <c r="D127" s="166" t="s">
        <v>185</v>
      </c>
      <c r="E127" s="55" t="s">
        <v>356</v>
      </c>
      <c r="F127" s="82">
        <v>16969</v>
      </c>
      <c r="G127" s="48">
        <f t="shared" si="7"/>
        <v>20294.92</v>
      </c>
      <c r="H127" s="56">
        <v>0.01</v>
      </c>
      <c r="I127" s="57">
        <f t="shared" si="8"/>
        <v>202.95</v>
      </c>
      <c r="K127" s="181"/>
      <c r="L127" s="249"/>
      <c r="M127" s="51"/>
    </row>
    <row r="128" spans="1:13" ht="26.25">
      <c r="A128" s="53"/>
      <c r="B128" s="54" t="s">
        <v>459</v>
      </c>
      <c r="C128" s="166" t="s">
        <v>144</v>
      </c>
      <c r="D128" s="166" t="s">
        <v>186</v>
      </c>
      <c r="E128" s="55" t="s">
        <v>384</v>
      </c>
      <c r="F128" s="82">
        <v>80.17</v>
      </c>
      <c r="G128" s="48">
        <f t="shared" si="7"/>
        <v>95.88</v>
      </c>
      <c r="H128" s="56">
        <v>0.08333333333333333</v>
      </c>
      <c r="I128" s="57">
        <f t="shared" si="8"/>
        <v>7.99</v>
      </c>
      <c r="K128" s="181"/>
      <c r="L128" s="249"/>
      <c r="M128" s="51"/>
    </row>
    <row r="129" spans="1:13" ht="26.25">
      <c r="A129" s="53"/>
      <c r="B129" s="54" t="s">
        <v>460</v>
      </c>
      <c r="C129" s="166" t="s">
        <v>144</v>
      </c>
      <c r="D129" s="166" t="s">
        <v>187</v>
      </c>
      <c r="E129" s="55" t="s">
        <v>384</v>
      </c>
      <c r="F129" s="82">
        <v>38.9</v>
      </c>
      <c r="G129" s="48">
        <f t="shared" si="7"/>
        <v>46.52</v>
      </c>
      <c r="H129" s="56">
        <v>0.08333333333333333</v>
      </c>
      <c r="I129" s="57">
        <f t="shared" si="8"/>
        <v>3.88</v>
      </c>
      <c r="K129" s="181"/>
      <c r="L129" s="249"/>
      <c r="M129" s="51"/>
    </row>
    <row r="130" spans="1:13" ht="26.25">
      <c r="A130" s="53"/>
      <c r="B130" s="54" t="s">
        <v>830</v>
      </c>
      <c r="C130" s="166" t="s">
        <v>144</v>
      </c>
      <c r="D130" s="166" t="s">
        <v>829</v>
      </c>
      <c r="E130" s="55" t="s">
        <v>356</v>
      </c>
      <c r="F130" s="82">
        <v>31.86</v>
      </c>
      <c r="G130" s="48">
        <f t="shared" si="7"/>
        <v>38.1</v>
      </c>
      <c r="H130" s="56">
        <v>0.5</v>
      </c>
      <c r="I130" s="57">
        <f>ROUND(G130*H130,2)</f>
        <v>19.05</v>
      </c>
      <c r="K130" s="181"/>
      <c r="L130" s="249"/>
      <c r="M130" s="51"/>
    </row>
    <row r="131" spans="1:13" ht="26.25">
      <c r="A131" s="53"/>
      <c r="B131" s="54" t="s">
        <v>832</v>
      </c>
      <c r="C131" s="166" t="s">
        <v>144</v>
      </c>
      <c r="D131" s="166" t="s">
        <v>831</v>
      </c>
      <c r="E131" s="55" t="s">
        <v>356</v>
      </c>
      <c r="F131" s="82">
        <v>26.34</v>
      </c>
      <c r="G131" s="48">
        <f t="shared" si="7"/>
        <v>31.5</v>
      </c>
      <c r="H131" s="56">
        <v>0.5</v>
      </c>
      <c r="I131" s="57">
        <f>ROUND(G131*H131,2)</f>
        <v>15.75</v>
      </c>
      <c r="K131" s="181"/>
      <c r="L131" s="249"/>
      <c r="M131" s="51"/>
    </row>
    <row r="132" spans="1:13" ht="26.25">
      <c r="A132" s="54" t="s">
        <v>888</v>
      </c>
      <c r="B132" s="399" t="s">
        <v>808</v>
      </c>
      <c r="C132" s="166" t="s">
        <v>144</v>
      </c>
      <c r="D132" s="166" t="s">
        <v>807</v>
      </c>
      <c r="E132" s="55" t="s">
        <v>889</v>
      </c>
      <c r="F132" s="82">
        <v>220.5</v>
      </c>
      <c r="G132" s="48">
        <f aca="true" t="shared" si="9" ref="G132:G148">ROUND(F132*(1+$G$320),2)</f>
        <v>263.72</v>
      </c>
      <c r="H132" s="56">
        <v>0.5</v>
      </c>
      <c r="I132" s="57">
        <f>ROUND(G132*H132,2)</f>
        <v>131.86</v>
      </c>
      <c r="K132" s="181"/>
      <c r="L132" s="249"/>
      <c r="M132" s="51"/>
    </row>
    <row r="133" spans="1:13" ht="64.5">
      <c r="A133" s="53" t="s">
        <v>873</v>
      </c>
      <c r="B133" s="54" t="s">
        <v>461</v>
      </c>
      <c r="C133" s="166" t="s">
        <v>149</v>
      </c>
      <c r="D133" s="166">
        <v>12039</v>
      </c>
      <c r="E133" s="55" t="s">
        <v>867</v>
      </c>
      <c r="F133" s="82">
        <v>627.24</v>
      </c>
      <c r="G133" s="48">
        <f t="shared" si="9"/>
        <v>750.18</v>
      </c>
      <c r="H133" s="56">
        <v>0.08333333333333333</v>
      </c>
      <c r="I133" s="57">
        <f t="shared" si="8"/>
        <v>62.52</v>
      </c>
      <c r="K133" s="464"/>
      <c r="L133" s="249"/>
      <c r="M133" s="51"/>
    </row>
    <row r="134" spans="1:13" ht="51.75">
      <c r="A134" s="53" t="s">
        <v>873</v>
      </c>
      <c r="B134" s="54" t="s">
        <v>835</v>
      </c>
      <c r="C134" s="166" t="s">
        <v>149</v>
      </c>
      <c r="D134" s="166" t="s">
        <v>834</v>
      </c>
      <c r="E134" s="55" t="s">
        <v>356</v>
      </c>
      <c r="F134" s="82">
        <v>2262</v>
      </c>
      <c r="G134" s="48">
        <f t="shared" si="9"/>
        <v>2705.35</v>
      </c>
      <c r="H134" s="56">
        <v>0.5</v>
      </c>
      <c r="I134" s="57">
        <f>ROUND(G134*H134,2)</f>
        <v>1352.68</v>
      </c>
      <c r="K134" s="181"/>
      <c r="L134" s="249"/>
      <c r="M134" s="51"/>
    </row>
    <row r="135" spans="1:13" ht="51.75">
      <c r="A135" s="53" t="s">
        <v>873</v>
      </c>
      <c r="B135" s="54" t="s">
        <v>837</v>
      </c>
      <c r="C135" s="166" t="s">
        <v>149</v>
      </c>
      <c r="D135" s="166" t="s">
        <v>836</v>
      </c>
      <c r="E135" s="55" t="s">
        <v>356</v>
      </c>
      <c r="F135" s="82">
        <v>4900.1</v>
      </c>
      <c r="G135" s="48">
        <f t="shared" si="9"/>
        <v>5860.52</v>
      </c>
      <c r="H135" s="56">
        <v>0.5</v>
      </c>
      <c r="I135" s="57">
        <f>ROUND(G135*H135,2)</f>
        <v>2930.26</v>
      </c>
      <c r="K135" s="181"/>
      <c r="L135" s="249"/>
      <c r="M135" s="51"/>
    </row>
    <row r="136" spans="1:13" ht="26.25">
      <c r="A136" s="53" t="s">
        <v>1029</v>
      </c>
      <c r="B136" s="54" t="s">
        <v>839</v>
      </c>
      <c r="C136" s="166" t="s">
        <v>149</v>
      </c>
      <c r="D136" s="166" t="s">
        <v>838</v>
      </c>
      <c r="E136" s="55" t="s">
        <v>356</v>
      </c>
      <c r="F136" s="82">
        <v>272.4</v>
      </c>
      <c r="G136" s="48">
        <f t="shared" si="9"/>
        <v>325.79</v>
      </c>
      <c r="H136" s="56">
        <v>0.5</v>
      </c>
      <c r="I136" s="57">
        <f>ROUND(G136*H136,2)</f>
        <v>162.9</v>
      </c>
      <c r="K136" s="181"/>
      <c r="L136" s="249"/>
      <c r="M136" s="51"/>
    </row>
    <row r="137" spans="1:13" ht="77.25">
      <c r="A137" s="53" t="s">
        <v>873</v>
      </c>
      <c r="B137" s="54" t="s">
        <v>716</v>
      </c>
      <c r="C137" s="166" t="s">
        <v>149</v>
      </c>
      <c r="D137" s="166">
        <v>12041</v>
      </c>
      <c r="E137" s="55" t="s">
        <v>867</v>
      </c>
      <c r="F137" s="82">
        <v>719.33</v>
      </c>
      <c r="G137" s="48">
        <f t="shared" si="9"/>
        <v>860.32</v>
      </c>
      <c r="H137" s="56">
        <v>0.08333333333333333</v>
      </c>
      <c r="I137" s="57">
        <f t="shared" si="8"/>
        <v>71.69</v>
      </c>
      <c r="K137" s="464"/>
      <c r="L137" s="249"/>
      <c r="M137" s="51"/>
    </row>
    <row r="138" spans="1:13" ht="64.5">
      <c r="A138" s="53" t="s">
        <v>873</v>
      </c>
      <c r="B138" s="54" t="s">
        <v>462</v>
      </c>
      <c r="C138" s="166" t="s">
        <v>149</v>
      </c>
      <c r="D138" s="166">
        <v>12042</v>
      </c>
      <c r="E138" s="55" t="s">
        <v>867</v>
      </c>
      <c r="F138" s="82">
        <v>1055.5</v>
      </c>
      <c r="G138" s="48">
        <f t="shared" si="9"/>
        <v>1262.38</v>
      </c>
      <c r="H138" s="56">
        <v>0.08333333333333333</v>
      </c>
      <c r="I138" s="57">
        <f t="shared" si="8"/>
        <v>105.2</v>
      </c>
      <c r="K138" s="464"/>
      <c r="L138" s="249"/>
      <c r="M138" s="51"/>
    </row>
    <row r="139" spans="1:13" ht="64.5">
      <c r="A139" s="53" t="s">
        <v>873</v>
      </c>
      <c r="B139" s="54" t="s">
        <v>688</v>
      </c>
      <c r="C139" s="166" t="s">
        <v>149</v>
      </c>
      <c r="D139" s="166">
        <v>39763</v>
      </c>
      <c r="E139" s="55" t="s">
        <v>867</v>
      </c>
      <c r="F139" s="82">
        <v>1235.33</v>
      </c>
      <c r="G139" s="48">
        <f t="shared" si="9"/>
        <v>1477.45</v>
      </c>
      <c r="H139" s="56">
        <v>0.041666666666666664</v>
      </c>
      <c r="I139" s="57">
        <f t="shared" si="8"/>
        <v>61.56</v>
      </c>
      <c r="K139" s="464"/>
      <c r="L139" s="249"/>
      <c r="M139" s="51"/>
    </row>
    <row r="140" spans="1:13" ht="77.25">
      <c r="A140" s="53" t="s">
        <v>873</v>
      </c>
      <c r="B140" s="54" t="s">
        <v>711</v>
      </c>
      <c r="C140" s="166" t="s">
        <v>149</v>
      </c>
      <c r="D140" s="166">
        <v>12038</v>
      </c>
      <c r="E140" s="55" t="s">
        <v>867</v>
      </c>
      <c r="F140" s="82">
        <v>552.42</v>
      </c>
      <c r="G140" s="48">
        <f t="shared" si="9"/>
        <v>660.69</v>
      </c>
      <c r="H140" s="56">
        <v>0.08333333333333333</v>
      </c>
      <c r="I140" s="57">
        <f t="shared" si="8"/>
        <v>55.06</v>
      </c>
      <c r="K140" s="464"/>
      <c r="L140" s="249"/>
      <c r="M140" s="51"/>
    </row>
    <row r="141" spans="1:13" ht="77.25">
      <c r="A141" s="53" t="s">
        <v>873</v>
      </c>
      <c r="B141" s="54" t="s">
        <v>874</v>
      </c>
      <c r="C141" s="166" t="s">
        <v>149</v>
      </c>
      <c r="D141" s="166">
        <v>39757</v>
      </c>
      <c r="E141" s="55" t="s">
        <v>867</v>
      </c>
      <c r="F141" s="82">
        <v>510.81</v>
      </c>
      <c r="G141" s="48">
        <f t="shared" si="9"/>
        <v>610.93</v>
      </c>
      <c r="H141" s="56">
        <v>0.08333333333333333</v>
      </c>
      <c r="I141" s="57">
        <f t="shared" si="8"/>
        <v>50.91</v>
      </c>
      <c r="K141" s="464"/>
      <c r="L141" s="249"/>
      <c r="M141" s="51"/>
    </row>
    <row r="142" spans="1:13" ht="39">
      <c r="A142" s="53"/>
      <c r="B142" s="54" t="s">
        <v>463</v>
      </c>
      <c r="C142" s="166" t="s">
        <v>149</v>
      </c>
      <c r="D142" s="166">
        <v>2510</v>
      </c>
      <c r="E142" s="55" t="s">
        <v>867</v>
      </c>
      <c r="F142" s="82">
        <v>48.65</v>
      </c>
      <c r="G142" s="48">
        <f t="shared" si="9"/>
        <v>58.19</v>
      </c>
      <c r="H142" s="56">
        <v>1</v>
      </c>
      <c r="I142" s="57">
        <f t="shared" si="8"/>
        <v>58.19</v>
      </c>
      <c r="K142" s="464"/>
      <c r="L142" s="249"/>
      <c r="M142" s="51"/>
    </row>
    <row r="143" spans="1:13" ht="26.25">
      <c r="A143" s="53"/>
      <c r="B143" s="54" t="s">
        <v>1033</v>
      </c>
      <c r="C143" s="166" t="s">
        <v>144</v>
      </c>
      <c r="D143" s="166" t="s">
        <v>1034</v>
      </c>
      <c r="E143" s="55" t="s">
        <v>1035</v>
      </c>
      <c r="F143" s="82">
        <v>2.75</v>
      </c>
      <c r="G143" s="48">
        <f t="shared" si="9"/>
        <v>3.29</v>
      </c>
      <c r="H143" s="56">
        <v>5</v>
      </c>
      <c r="I143" s="57">
        <f t="shared" si="8"/>
        <v>16.45</v>
      </c>
      <c r="K143" s="464"/>
      <c r="L143" s="249"/>
      <c r="M143" s="51"/>
    </row>
    <row r="144" spans="1:13" ht="64.5">
      <c r="A144" s="53"/>
      <c r="B144" s="54" t="s">
        <v>1036</v>
      </c>
      <c r="C144" s="166" t="s">
        <v>144</v>
      </c>
      <c r="D144" s="166" t="s">
        <v>1037</v>
      </c>
      <c r="E144" s="55" t="s">
        <v>867</v>
      </c>
      <c r="F144" s="82">
        <v>214</v>
      </c>
      <c r="G144" s="48">
        <f t="shared" si="9"/>
        <v>255.94</v>
      </c>
      <c r="H144" s="56">
        <v>1</v>
      </c>
      <c r="I144" s="57">
        <f t="shared" si="8"/>
        <v>255.94</v>
      </c>
      <c r="K144" s="464"/>
      <c r="L144" s="249"/>
      <c r="M144" s="51"/>
    </row>
    <row r="145" spans="1:13" ht="51.75">
      <c r="A145" s="53"/>
      <c r="B145" s="54" t="s">
        <v>689</v>
      </c>
      <c r="C145" s="166" t="s">
        <v>149</v>
      </c>
      <c r="D145" s="166">
        <v>39479</v>
      </c>
      <c r="E145" s="55" t="s">
        <v>867</v>
      </c>
      <c r="F145" s="82">
        <v>169.27</v>
      </c>
      <c r="G145" s="48">
        <f t="shared" si="9"/>
        <v>202.45</v>
      </c>
      <c r="H145" s="56">
        <v>0.3333333333333333</v>
      </c>
      <c r="I145" s="57">
        <f t="shared" si="8"/>
        <v>67.48</v>
      </c>
      <c r="K145" s="464"/>
      <c r="L145" s="249"/>
      <c r="M145" s="51"/>
    </row>
    <row r="146" spans="1:13" ht="51.75">
      <c r="A146" s="53" t="s">
        <v>40</v>
      </c>
      <c r="B146" s="54" t="s">
        <v>464</v>
      </c>
      <c r="C146" s="166" t="s">
        <v>144</v>
      </c>
      <c r="D146" s="166" t="s">
        <v>188</v>
      </c>
      <c r="E146" s="55" t="s">
        <v>356</v>
      </c>
      <c r="F146" s="82">
        <v>88.09</v>
      </c>
      <c r="G146" s="48">
        <f t="shared" si="9"/>
        <v>105.36</v>
      </c>
      <c r="H146" s="56">
        <v>1</v>
      </c>
      <c r="I146" s="57">
        <f>ROUND(G146*H146,2)</f>
        <v>105.36</v>
      </c>
      <c r="K146" s="181"/>
      <c r="L146" s="249"/>
      <c r="M146" s="51"/>
    </row>
    <row r="147" spans="1:13" ht="64.5">
      <c r="A147" s="53"/>
      <c r="B147" s="54" t="s">
        <v>872</v>
      </c>
      <c r="C147" s="166" t="s">
        <v>149</v>
      </c>
      <c r="D147" s="166">
        <v>12118</v>
      </c>
      <c r="E147" s="55" t="s">
        <v>356</v>
      </c>
      <c r="F147" s="82">
        <v>19.69</v>
      </c>
      <c r="G147" s="48">
        <f t="shared" si="9"/>
        <v>23.55</v>
      </c>
      <c r="H147" s="56">
        <v>0.5</v>
      </c>
      <c r="I147" s="57">
        <f>ROUND(G147*H147,2)</f>
        <v>11.78</v>
      </c>
      <c r="K147" s="464"/>
      <c r="L147" s="249"/>
      <c r="M147" s="51"/>
    </row>
    <row r="148" spans="1:13" ht="39.75" thickBot="1">
      <c r="A148" s="53"/>
      <c r="B148" s="60" t="s">
        <v>690</v>
      </c>
      <c r="C148" s="168" t="s">
        <v>149</v>
      </c>
      <c r="D148" s="168">
        <v>2688</v>
      </c>
      <c r="E148" s="55" t="s">
        <v>869</v>
      </c>
      <c r="F148" s="82">
        <v>2.81</v>
      </c>
      <c r="G148" s="48">
        <f t="shared" si="9"/>
        <v>3.36</v>
      </c>
      <c r="H148" s="62">
        <v>3</v>
      </c>
      <c r="I148" s="63">
        <f>ROUND(G148*H148,2)</f>
        <v>10.08</v>
      </c>
      <c r="K148" s="464"/>
      <c r="L148" s="249"/>
      <c r="M148" s="51"/>
    </row>
    <row r="149" spans="1:13" ht="16.5" thickBot="1">
      <c r="A149" s="705" t="s">
        <v>465</v>
      </c>
      <c r="B149" s="705"/>
      <c r="C149" s="160"/>
      <c r="D149" s="160"/>
      <c r="E149" s="64"/>
      <c r="F149" s="65"/>
      <c r="G149" s="66"/>
      <c r="H149" s="67"/>
      <c r="I149" s="68">
        <f>SUM(I7:I148)</f>
        <v>13374.980000000003</v>
      </c>
      <c r="K149" s="181"/>
      <c r="L149" s="52"/>
      <c r="M149" s="51"/>
    </row>
    <row r="150" spans="1:13" ht="16.5" thickBot="1">
      <c r="A150" s="705" t="s">
        <v>466</v>
      </c>
      <c r="B150" s="705"/>
      <c r="C150" s="160"/>
      <c r="D150" s="160"/>
      <c r="E150" s="64"/>
      <c r="F150" s="65"/>
      <c r="G150" s="66"/>
      <c r="H150" s="67"/>
      <c r="I150" s="68">
        <f>I149*12</f>
        <v>160499.76000000004</v>
      </c>
      <c r="K150" s="181"/>
      <c r="L150" s="52"/>
      <c r="M150" s="51"/>
    </row>
    <row r="151" spans="1:13" ht="16.5" thickBot="1">
      <c r="A151" s="69"/>
      <c r="B151" s="70"/>
      <c r="C151" s="169"/>
      <c r="D151" s="169"/>
      <c r="E151" s="71"/>
      <c r="F151" s="72"/>
      <c r="G151" s="73"/>
      <c r="H151" s="74"/>
      <c r="I151" s="75"/>
      <c r="L151" s="52"/>
      <c r="M151" s="51"/>
    </row>
    <row r="152" spans="1:13" ht="16.5" thickBot="1">
      <c r="A152" s="711" t="s">
        <v>666</v>
      </c>
      <c r="B152" s="711"/>
      <c r="C152" s="711"/>
      <c r="D152" s="711"/>
      <c r="E152" s="711"/>
      <c r="F152" s="711"/>
      <c r="G152" s="711"/>
      <c r="H152" s="711"/>
      <c r="I152" s="711"/>
      <c r="L152" s="52"/>
      <c r="M152" s="51"/>
    </row>
    <row r="153" spans="1:13" s="80" customFormat="1" ht="39.75" thickBot="1">
      <c r="A153" s="76" t="s">
        <v>349</v>
      </c>
      <c r="B153" s="76" t="s">
        <v>350</v>
      </c>
      <c r="C153" s="164" t="s">
        <v>142</v>
      </c>
      <c r="D153" s="164" t="s">
        <v>143</v>
      </c>
      <c r="E153" s="77" t="s">
        <v>262</v>
      </c>
      <c r="F153" s="384" t="s">
        <v>351</v>
      </c>
      <c r="G153" s="44" t="s">
        <v>352</v>
      </c>
      <c r="H153" s="78" t="s">
        <v>353</v>
      </c>
      <c r="I153" s="79" t="s">
        <v>467</v>
      </c>
      <c r="J153" s="251"/>
      <c r="L153" s="52"/>
      <c r="M153" s="51"/>
    </row>
    <row r="154" spans="1:13" ht="39">
      <c r="A154" s="81" t="s">
        <v>41</v>
      </c>
      <c r="B154" s="47" t="s">
        <v>691</v>
      </c>
      <c r="C154" s="165" t="s">
        <v>149</v>
      </c>
      <c r="D154" s="165">
        <v>6027</v>
      </c>
      <c r="E154" s="55" t="s">
        <v>867</v>
      </c>
      <c r="F154" s="82">
        <v>608.43</v>
      </c>
      <c r="G154" s="48">
        <f aca="true" t="shared" si="10" ref="G154:G185">ROUND(F154*(1+$G$320),2)</f>
        <v>727.68</v>
      </c>
      <c r="H154" s="49">
        <v>0.016666666666666666</v>
      </c>
      <c r="I154" s="50">
        <f aca="true" t="shared" si="11" ref="I154:I199">ROUND(G154*H154,2)</f>
        <v>12.13</v>
      </c>
      <c r="K154" s="464"/>
      <c r="L154" s="249"/>
      <c r="M154" s="51"/>
    </row>
    <row r="155" spans="1:13" ht="39">
      <c r="A155" s="81" t="s">
        <v>41</v>
      </c>
      <c r="B155" s="54" t="s">
        <v>692</v>
      </c>
      <c r="C155" s="166" t="s">
        <v>149</v>
      </c>
      <c r="D155" s="166">
        <v>6011</v>
      </c>
      <c r="E155" s="55" t="s">
        <v>867</v>
      </c>
      <c r="F155" s="82">
        <v>241.19</v>
      </c>
      <c r="G155" s="48">
        <f t="shared" si="10"/>
        <v>288.46</v>
      </c>
      <c r="H155" s="56">
        <v>0.041666666666666664</v>
      </c>
      <c r="I155" s="57">
        <f t="shared" si="11"/>
        <v>12.02</v>
      </c>
      <c r="K155" s="464"/>
      <c r="L155" s="249"/>
      <c r="M155" s="51"/>
    </row>
    <row r="156" spans="1:13" ht="39">
      <c r="A156" s="81" t="s">
        <v>41</v>
      </c>
      <c r="B156" s="54" t="s">
        <v>693</v>
      </c>
      <c r="C156" s="166" t="s">
        <v>149</v>
      </c>
      <c r="D156" s="166">
        <v>6028</v>
      </c>
      <c r="E156" s="55" t="s">
        <v>867</v>
      </c>
      <c r="F156" s="82">
        <v>116.3</v>
      </c>
      <c r="G156" s="48">
        <f t="shared" si="10"/>
        <v>139.09</v>
      </c>
      <c r="H156" s="56">
        <v>0.16666666666666666</v>
      </c>
      <c r="I156" s="57">
        <f t="shared" si="11"/>
        <v>23.18</v>
      </c>
      <c r="K156" s="464"/>
      <c r="L156" s="249"/>
      <c r="M156" s="51"/>
    </row>
    <row r="157" spans="1:13" ht="39">
      <c r="A157" s="81" t="s">
        <v>41</v>
      </c>
      <c r="B157" s="54" t="s">
        <v>694</v>
      </c>
      <c r="C157" s="166" t="s">
        <v>149</v>
      </c>
      <c r="D157" s="166">
        <v>6010</v>
      </c>
      <c r="E157" s="55" t="s">
        <v>867</v>
      </c>
      <c r="F157" s="82">
        <v>83.49</v>
      </c>
      <c r="G157" s="48">
        <f t="shared" si="10"/>
        <v>99.85</v>
      </c>
      <c r="H157" s="56">
        <v>0.16666666666666666</v>
      </c>
      <c r="I157" s="57">
        <f t="shared" si="11"/>
        <v>16.64</v>
      </c>
      <c r="K157" s="464"/>
      <c r="L157" s="249"/>
      <c r="M157" s="51"/>
    </row>
    <row r="158" spans="1:13" ht="39">
      <c r="A158" s="81" t="s">
        <v>41</v>
      </c>
      <c r="B158" s="54" t="s">
        <v>695</v>
      </c>
      <c r="C158" s="166" t="s">
        <v>149</v>
      </c>
      <c r="D158" s="166">
        <v>6019</v>
      </c>
      <c r="E158" s="55" t="s">
        <v>867</v>
      </c>
      <c r="F158" s="82">
        <v>48.52</v>
      </c>
      <c r="G158" s="48">
        <f t="shared" si="10"/>
        <v>58.03</v>
      </c>
      <c r="H158" s="56">
        <v>1</v>
      </c>
      <c r="I158" s="57">
        <f t="shared" si="11"/>
        <v>58.03</v>
      </c>
      <c r="K158" s="464"/>
      <c r="L158" s="249"/>
      <c r="M158" s="51"/>
    </row>
    <row r="159" spans="1:13" ht="39">
      <c r="A159" s="81" t="s">
        <v>41</v>
      </c>
      <c r="B159" s="54" t="s">
        <v>696</v>
      </c>
      <c r="C159" s="166" t="s">
        <v>149</v>
      </c>
      <c r="D159" s="166">
        <v>6016</v>
      </c>
      <c r="E159" s="55" t="s">
        <v>867</v>
      </c>
      <c r="F159" s="82">
        <v>30.74</v>
      </c>
      <c r="G159" s="48">
        <f t="shared" si="10"/>
        <v>36.77</v>
      </c>
      <c r="H159" s="56">
        <v>1</v>
      </c>
      <c r="I159" s="57">
        <f t="shared" si="11"/>
        <v>36.77</v>
      </c>
      <c r="K159" s="464"/>
      <c r="L159" s="249"/>
      <c r="M159" s="51"/>
    </row>
    <row r="160" spans="1:13" ht="51.75">
      <c r="A160" s="81" t="s">
        <v>41</v>
      </c>
      <c r="B160" s="54" t="s">
        <v>697</v>
      </c>
      <c r="C160" s="166" t="s">
        <v>149</v>
      </c>
      <c r="D160" s="166">
        <v>6013</v>
      </c>
      <c r="E160" s="55" t="s">
        <v>867</v>
      </c>
      <c r="F160" s="82">
        <v>91.81</v>
      </c>
      <c r="G160" s="48">
        <f t="shared" si="10"/>
        <v>109.8</v>
      </c>
      <c r="H160" s="56">
        <v>1</v>
      </c>
      <c r="I160" s="57">
        <f aca="true" t="shared" si="12" ref="I160:I174">ROUND(G160*H160,2)</f>
        <v>109.8</v>
      </c>
      <c r="K160" s="464"/>
      <c r="L160" s="249"/>
      <c r="M160" s="51"/>
    </row>
    <row r="161" spans="1:13" ht="51.75">
      <c r="A161" s="81" t="s">
        <v>41</v>
      </c>
      <c r="B161" s="54" t="s">
        <v>698</v>
      </c>
      <c r="C161" s="166" t="s">
        <v>149</v>
      </c>
      <c r="D161" s="166">
        <v>6005</v>
      </c>
      <c r="E161" s="55" t="s">
        <v>867</v>
      </c>
      <c r="F161" s="82">
        <v>75</v>
      </c>
      <c r="G161" s="48">
        <f t="shared" si="10"/>
        <v>89.7</v>
      </c>
      <c r="H161" s="56">
        <v>2</v>
      </c>
      <c r="I161" s="57">
        <f t="shared" si="12"/>
        <v>179.4</v>
      </c>
      <c r="K161" s="464"/>
      <c r="L161" s="249"/>
      <c r="M161" s="51"/>
    </row>
    <row r="162" spans="1:13" ht="90">
      <c r="A162" s="81" t="s">
        <v>445</v>
      </c>
      <c r="B162" s="54" t="s">
        <v>6</v>
      </c>
      <c r="C162" s="166" t="s">
        <v>149</v>
      </c>
      <c r="D162" s="166">
        <v>37528</v>
      </c>
      <c r="E162" s="55" t="s">
        <v>867</v>
      </c>
      <c r="F162" s="82">
        <v>705.94</v>
      </c>
      <c r="G162" s="48">
        <f t="shared" si="10"/>
        <v>844.3</v>
      </c>
      <c r="H162" s="56">
        <v>0.16666666666666666</v>
      </c>
      <c r="I162" s="57">
        <f t="shared" si="12"/>
        <v>140.72</v>
      </c>
      <c r="K162" s="464"/>
      <c r="L162" s="249"/>
      <c r="M162" s="51"/>
    </row>
    <row r="163" spans="1:13" ht="90">
      <c r="A163" s="81" t="s">
        <v>445</v>
      </c>
      <c r="B163" s="54" t="s">
        <v>7</v>
      </c>
      <c r="C163" s="166" t="s">
        <v>149</v>
      </c>
      <c r="D163" s="166">
        <v>37530</v>
      </c>
      <c r="E163" s="55" t="s">
        <v>867</v>
      </c>
      <c r="F163" s="82">
        <v>930.69</v>
      </c>
      <c r="G163" s="48">
        <f t="shared" si="10"/>
        <v>1113.11</v>
      </c>
      <c r="H163" s="56">
        <v>0.16666666666666666</v>
      </c>
      <c r="I163" s="57">
        <f t="shared" si="12"/>
        <v>185.52</v>
      </c>
      <c r="K163" s="464"/>
      <c r="L163" s="249"/>
      <c r="M163" s="51"/>
    </row>
    <row r="164" spans="1:13" ht="64.5">
      <c r="A164" s="81" t="s">
        <v>445</v>
      </c>
      <c r="B164" s="54" t="s">
        <v>10</v>
      </c>
      <c r="C164" s="166" t="s">
        <v>149</v>
      </c>
      <c r="D164" s="166">
        <v>37554</v>
      </c>
      <c r="E164" s="55" t="s">
        <v>356</v>
      </c>
      <c r="F164" s="82">
        <v>221.95</v>
      </c>
      <c r="G164" s="48">
        <f t="shared" si="10"/>
        <v>265.45</v>
      </c>
      <c r="H164" s="56">
        <v>0.16666666666666666</v>
      </c>
      <c r="I164" s="57">
        <f t="shared" si="12"/>
        <v>44.24</v>
      </c>
      <c r="K164" s="464"/>
      <c r="L164" s="249"/>
      <c r="M164" s="51"/>
    </row>
    <row r="165" spans="1:13" ht="64.5">
      <c r="A165" s="81" t="s">
        <v>445</v>
      </c>
      <c r="B165" s="54" t="s">
        <v>18</v>
      </c>
      <c r="C165" s="166" t="s">
        <v>149</v>
      </c>
      <c r="D165" s="166">
        <v>21044</v>
      </c>
      <c r="E165" s="55" t="s">
        <v>356</v>
      </c>
      <c r="F165" s="82">
        <v>38.83</v>
      </c>
      <c r="G165" s="48">
        <f t="shared" si="10"/>
        <v>46.44</v>
      </c>
      <c r="H165" s="56">
        <v>0.5</v>
      </c>
      <c r="I165" s="57">
        <f>ROUND(G165*H165,2)</f>
        <v>23.22</v>
      </c>
      <c r="K165" s="464"/>
      <c r="L165" s="249"/>
      <c r="M165" s="51"/>
    </row>
    <row r="166" spans="1:13" ht="64.5">
      <c r="A166" s="81" t="s">
        <v>445</v>
      </c>
      <c r="B166" s="54" t="s">
        <v>17</v>
      </c>
      <c r="C166" s="166" t="s">
        <v>149</v>
      </c>
      <c r="D166" s="166">
        <v>65</v>
      </c>
      <c r="E166" s="55" t="s">
        <v>356</v>
      </c>
      <c r="F166" s="82">
        <v>0.97</v>
      </c>
      <c r="G166" s="48">
        <f t="shared" si="10"/>
        <v>1.16</v>
      </c>
      <c r="H166" s="56">
        <v>3</v>
      </c>
      <c r="I166" s="57">
        <f t="shared" si="12"/>
        <v>3.48</v>
      </c>
      <c r="K166" s="464"/>
      <c r="L166" s="249"/>
      <c r="M166" s="51"/>
    </row>
    <row r="167" spans="1:13" ht="51.75">
      <c r="A167" s="81" t="s">
        <v>445</v>
      </c>
      <c r="B167" s="54" t="s">
        <v>699</v>
      </c>
      <c r="C167" s="166" t="s">
        <v>149</v>
      </c>
      <c r="D167" s="166">
        <v>108</v>
      </c>
      <c r="E167" s="55" t="s">
        <v>356</v>
      </c>
      <c r="F167" s="82">
        <v>2</v>
      </c>
      <c r="G167" s="48">
        <f t="shared" si="10"/>
        <v>2.39</v>
      </c>
      <c r="H167" s="56">
        <v>3</v>
      </c>
      <c r="I167" s="57">
        <f t="shared" si="12"/>
        <v>7.17</v>
      </c>
      <c r="K167" s="464"/>
      <c r="L167" s="249"/>
      <c r="M167" s="51"/>
    </row>
    <row r="168" spans="1:13" ht="26.25">
      <c r="A168" s="81"/>
      <c r="B168" s="54" t="s">
        <v>8</v>
      </c>
      <c r="C168" s="166" t="s">
        <v>110</v>
      </c>
      <c r="D168" s="166" t="s">
        <v>9</v>
      </c>
      <c r="E168" s="55" t="s">
        <v>356</v>
      </c>
      <c r="F168" s="502">
        <v>522.83</v>
      </c>
      <c r="G168" s="48">
        <f t="shared" si="10"/>
        <v>625.3</v>
      </c>
      <c r="H168" s="56">
        <v>0.08333333333333333</v>
      </c>
      <c r="I168" s="57">
        <f>ROUND(G168*H168,2)</f>
        <v>52.11</v>
      </c>
      <c r="K168" s="464"/>
      <c r="L168" s="249"/>
      <c r="M168" s="51"/>
    </row>
    <row r="169" spans="1:13" ht="39">
      <c r="A169" s="81"/>
      <c r="B169" s="54" t="s">
        <v>53</v>
      </c>
      <c r="C169" s="166" t="s">
        <v>110</v>
      </c>
      <c r="D169" s="166" t="s">
        <v>47</v>
      </c>
      <c r="E169" s="55" t="s">
        <v>356</v>
      </c>
      <c r="F169" s="502">
        <v>74.08</v>
      </c>
      <c r="G169" s="48">
        <f t="shared" si="10"/>
        <v>88.6</v>
      </c>
      <c r="H169" s="56">
        <v>0.5</v>
      </c>
      <c r="I169" s="57">
        <f t="shared" si="12"/>
        <v>44.3</v>
      </c>
      <c r="K169" s="464"/>
      <c r="L169" s="249"/>
      <c r="M169" s="51"/>
    </row>
    <row r="170" spans="1:13" ht="26.25">
      <c r="A170" s="81"/>
      <c r="B170" s="54" t="s">
        <v>54</v>
      </c>
      <c r="C170" s="166" t="s">
        <v>110</v>
      </c>
      <c r="D170" s="166" t="s">
        <v>48</v>
      </c>
      <c r="E170" s="55" t="s">
        <v>356</v>
      </c>
      <c r="F170" s="502">
        <v>9.68</v>
      </c>
      <c r="G170" s="48">
        <f t="shared" si="10"/>
        <v>11.58</v>
      </c>
      <c r="H170" s="56">
        <v>0.5</v>
      </c>
      <c r="I170" s="57">
        <f t="shared" si="12"/>
        <v>5.79</v>
      </c>
      <c r="K170" s="464"/>
      <c r="L170" s="249"/>
      <c r="M170" s="51"/>
    </row>
    <row r="171" spans="1:13" ht="64.5">
      <c r="A171" s="81"/>
      <c r="B171" s="54" t="s">
        <v>55</v>
      </c>
      <c r="C171" s="166" t="s">
        <v>110</v>
      </c>
      <c r="D171" s="166" t="s">
        <v>49</v>
      </c>
      <c r="E171" s="55" t="s">
        <v>356</v>
      </c>
      <c r="F171" s="502">
        <v>2169.82</v>
      </c>
      <c r="G171" s="48">
        <f t="shared" si="10"/>
        <v>2595.1</v>
      </c>
      <c r="H171" s="56">
        <v>0.016666666666666666</v>
      </c>
      <c r="I171" s="57">
        <f t="shared" si="12"/>
        <v>43.25</v>
      </c>
      <c r="K171" s="464"/>
      <c r="L171" s="249"/>
      <c r="M171" s="51"/>
    </row>
    <row r="172" spans="1:13" ht="39">
      <c r="A172" s="81"/>
      <c r="B172" s="54" t="s">
        <v>56</v>
      </c>
      <c r="C172" s="166" t="s">
        <v>110</v>
      </c>
      <c r="D172" s="166" t="s">
        <v>50</v>
      </c>
      <c r="E172" s="55" t="s">
        <v>356</v>
      </c>
      <c r="F172" s="503">
        <v>622.25</v>
      </c>
      <c r="G172" s="48">
        <f t="shared" si="10"/>
        <v>744.21</v>
      </c>
      <c r="H172" s="56">
        <v>0.041666666666666664</v>
      </c>
      <c r="I172" s="57">
        <f t="shared" si="12"/>
        <v>31.01</v>
      </c>
      <c r="K172" s="464"/>
      <c r="L172" s="249"/>
      <c r="M172" s="51"/>
    </row>
    <row r="173" spans="1:13" ht="39">
      <c r="A173" s="81"/>
      <c r="B173" s="54" t="s">
        <v>57</v>
      </c>
      <c r="C173" s="166" t="s">
        <v>110</v>
      </c>
      <c r="D173" s="166" t="s">
        <v>51</v>
      </c>
      <c r="E173" s="55" t="s">
        <v>356</v>
      </c>
      <c r="F173" s="502">
        <v>516.26</v>
      </c>
      <c r="G173" s="48">
        <f t="shared" si="10"/>
        <v>617.45</v>
      </c>
      <c r="H173" s="56">
        <v>0.041666666666666664</v>
      </c>
      <c r="I173" s="57">
        <f t="shared" si="12"/>
        <v>25.73</v>
      </c>
      <c r="K173" s="464"/>
      <c r="L173" s="249"/>
      <c r="M173" s="51"/>
    </row>
    <row r="174" spans="1:13" ht="39">
      <c r="A174" s="81"/>
      <c r="B174" s="54" t="s">
        <v>58</v>
      </c>
      <c r="C174" s="166" t="s">
        <v>110</v>
      </c>
      <c r="D174" s="166" t="s">
        <v>52</v>
      </c>
      <c r="E174" s="55" t="s">
        <v>356</v>
      </c>
      <c r="F174" s="502">
        <v>389.83</v>
      </c>
      <c r="G174" s="48">
        <f t="shared" si="10"/>
        <v>466.24</v>
      </c>
      <c r="H174" s="56">
        <v>0.041666666666666664</v>
      </c>
      <c r="I174" s="57">
        <f t="shared" si="12"/>
        <v>19.43</v>
      </c>
      <c r="K174" s="464"/>
      <c r="L174" s="249"/>
      <c r="M174" s="51"/>
    </row>
    <row r="175" spans="1:13" ht="26.25">
      <c r="A175" s="81" t="s">
        <v>445</v>
      </c>
      <c r="B175" s="54" t="s">
        <v>468</v>
      </c>
      <c r="C175" s="166" t="s">
        <v>149</v>
      </c>
      <c r="D175" s="166">
        <v>9867</v>
      </c>
      <c r="E175" s="55" t="s">
        <v>869</v>
      </c>
      <c r="F175" s="82">
        <v>3.19</v>
      </c>
      <c r="G175" s="48">
        <f t="shared" si="10"/>
        <v>3.82</v>
      </c>
      <c r="H175" s="56">
        <v>3</v>
      </c>
      <c r="I175" s="57">
        <f t="shared" si="11"/>
        <v>11.46</v>
      </c>
      <c r="K175" s="464"/>
      <c r="L175" s="249"/>
      <c r="M175" s="51"/>
    </row>
    <row r="176" spans="1:13" ht="26.25">
      <c r="A176" s="81" t="s">
        <v>445</v>
      </c>
      <c r="B176" s="54" t="s">
        <v>469</v>
      </c>
      <c r="C176" s="166" t="s">
        <v>149</v>
      </c>
      <c r="D176" s="166">
        <v>9868</v>
      </c>
      <c r="E176" s="55" t="s">
        <v>869</v>
      </c>
      <c r="F176" s="82">
        <v>4.09</v>
      </c>
      <c r="G176" s="48">
        <f t="shared" si="10"/>
        <v>4.89</v>
      </c>
      <c r="H176" s="56">
        <v>3</v>
      </c>
      <c r="I176" s="57">
        <f t="shared" si="11"/>
        <v>14.67</v>
      </c>
      <c r="K176" s="464"/>
      <c r="L176" s="249"/>
      <c r="M176" s="51"/>
    </row>
    <row r="177" spans="1:13" ht="26.25">
      <c r="A177" s="81" t="s">
        <v>445</v>
      </c>
      <c r="B177" s="54" t="s">
        <v>470</v>
      </c>
      <c r="C177" s="166" t="s">
        <v>149</v>
      </c>
      <c r="D177" s="166">
        <v>9869</v>
      </c>
      <c r="E177" s="55" t="s">
        <v>869</v>
      </c>
      <c r="F177" s="82">
        <v>9.18</v>
      </c>
      <c r="G177" s="48">
        <f t="shared" si="10"/>
        <v>10.98</v>
      </c>
      <c r="H177" s="56">
        <v>3</v>
      </c>
      <c r="I177" s="57">
        <f t="shared" si="11"/>
        <v>32.94</v>
      </c>
      <c r="K177" s="464"/>
      <c r="L177" s="249"/>
      <c r="M177" s="51"/>
    </row>
    <row r="178" spans="1:13" ht="26.25">
      <c r="A178" s="81" t="s">
        <v>445</v>
      </c>
      <c r="B178" s="54" t="s">
        <v>471</v>
      </c>
      <c r="C178" s="166" t="s">
        <v>149</v>
      </c>
      <c r="D178" s="166">
        <v>9874</v>
      </c>
      <c r="E178" s="55" t="s">
        <v>869</v>
      </c>
      <c r="F178" s="82">
        <v>13.37</v>
      </c>
      <c r="G178" s="48">
        <f t="shared" si="10"/>
        <v>15.99</v>
      </c>
      <c r="H178" s="56">
        <v>3</v>
      </c>
      <c r="I178" s="57">
        <f t="shared" si="11"/>
        <v>47.97</v>
      </c>
      <c r="K178" s="464"/>
      <c r="L178" s="249"/>
      <c r="M178" s="51"/>
    </row>
    <row r="179" spans="1:13" ht="26.25">
      <c r="A179" s="81" t="s">
        <v>445</v>
      </c>
      <c r="B179" s="54" t="s">
        <v>472</v>
      </c>
      <c r="C179" s="166" t="s">
        <v>149</v>
      </c>
      <c r="D179" s="166">
        <v>9875</v>
      </c>
      <c r="E179" s="55" t="s">
        <v>869</v>
      </c>
      <c r="F179" s="82">
        <v>15.32</v>
      </c>
      <c r="G179" s="48">
        <f t="shared" si="10"/>
        <v>18.32</v>
      </c>
      <c r="H179" s="56">
        <v>3</v>
      </c>
      <c r="I179" s="57">
        <f t="shared" si="11"/>
        <v>54.96</v>
      </c>
      <c r="K179" s="464"/>
      <c r="L179" s="249"/>
      <c r="M179" s="51"/>
    </row>
    <row r="180" spans="1:13" ht="26.25">
      <c r="A180" s="81" t="s">
        <v>445</v>
      </c>
      <c r="B180" s="54" t="s">
        <v>473</v>
      </c>
      <c r="C180" s="166" t="s">
        <v>149</v>
      </c>
      <c r="D180" s="166">
        <v>9856</v>
      </c>
      <c r="E180" s="55" t="s">
        <v>869</v>
      </c>
      <c r="F180" s="82">
        <v>7.78</v>
      </c>
      <c r="G180" s="48">
        <f t="shared" si="10"/>
        <v>9.3</v>
      </c>
      <c r="H180" s="56">
        <v>3</v>
      </c>
      <c r="I180" s="57">
        <f t="shared" si="11"/>
        <v>27.9</v>
      </c>
      <c r="K180" s="464"/>
      <c r="L180" s="249"/>
      <c r="M180" s="51"/>
    </row>
    <row r="181" spans="1:13" ht="26.25">
      <c r="A181" s="81" t="s">
        <v>445</v>
      </c>
      <c r="B181" s="54" t="s">
        <v>474</v>
      </c>
      <c r="C181" s="166" t="s">
        <v>144</v>
      </c>
      <c r="D181" s="166" t="s">
        <v>189</v>
      </c>
      <c r="E181" s="55" t="s">
        <v>384</v>
      </c>
      <c r="F181" s="82">
        <v>8.06</v>
      </c>
      <c r="G181" s="48">
        <f t="shared" si="10"/>
        <v>9.64</v>
      </c>
      <c r="H181" s="56">
        <v>3</v>
      </c>
      <c r="I181" s="57">
        <f t="shared" si="11"/>
        <v>28.92</v>
      </c>
      <c r="K181" s="464"/>
      <c r="L181" s="249"/>
      <c r="M181" s="51"/>
    </row>
    <row r="182" spans="1:13" ht="26.25">
      <c r="A182" s="81" t="s">
        <v>445</v>
      </c>
      <c r="B182" s="54" t="s">
        <v>475</v>
      </c>
      <c r="C182" s="166" t="s">
        <v>149</v>
      </c>
      <c r="D182" s="166">
        <v>9866</v>
      </c>
      <c r="E182" s="55" t="s">
        <v>869</v>
      </c>
      <c r="F182" s="82">
        <v>21.4</v>
      </c>
      <c r="G182" s="48">
        <f t="shared" si="10"/>
        <v>25.59</v>
      </c>
      <c r="H182" s="56">
        <v>3</v>
      </c>
      <c r="I182" s="57">
        <f t="shared" si="11"/>
        <v>76.77</v>
      </c>
      <c r="K182" s="464"/>
      <c r="L182" s="249"/>
      <c r="M182" s="51"/>
    </row>
    <row r="183" spans="1:13" ht="26.25">
      <c r="A183" s="81" t="s">
        <v>445</v>
      </c>
      <c r="B183" s="54" t="s">
        <v>476</v>
      </c>
      <c r="C183" s="166" t="s">
        <v>149</v>
      </c>
      <c r="D183" s="166">
        <v>9862</v>
      </c>
      <c r="E183" s="55" t="s">
        <v>869</v>
      </c>
      <c r="F183" s="82">
        <v>36.05</v>
      </c>
      <c r="G183" s="48">
        <f t="shared" si="10"/>
        <v>43.12</v>
      </c>
      <c r="H183" s="56">
        <v>3</v>
      </c>
      <c r="I183" s="57">
        <f t="shared" si="11"/>
        <v>129.36</v>
      </c>
      <c r="K183" s="464"/>
      <c r="L183" s="249"/>
      <c r="M183" s="51"/>
    </row>
    <row r="184" spans="1:13" ht="26.25">
      <c r="A184" s="81" t="s">
        <v>445</v>
      </c>
      <c r="B184" s="54" t="s">
        <v>477</v>
      </c>
      <c r="C184" s="166" t="s">
        <v>149</v>
      </c>
      <c r="D184" s="166">
        <v>9861</v>
      </c>
      <c r="E184" s="55" t="s">
        <v>869</v>
      </c>
      <c r="F184" s="82">
        <v>28.97</v>
      </c>
      <c r="G184" s="48">
        <f t="shared" si="10"/>
        <v>34.65</v>
      </c>
      <c r="H184" s="56">
        <v>3</v>
      </c>
      <c r="I184" s="57">
        <f t="shared" si="11"/>
        <v>103.95</v>
      </c>
      <c r="K184" s="464"/>
      <c r="L184" s="249"/>
      <c r="M184" s="51"/>
    </row>
    <row r="185" spans="1:13" ht="39">
      <c r="A185" s="81" t="s">
        <v>445</v>
      </c>
      <c r="B185" s="54" t="s">
        <v>700</v>
      </c>
      <c r="C185" s="166" t="s">
        <v>149</v>
      </c>
      <c r="D185" s="166">
        <v>20065</v>
      </c>
      <c r="E185" s="55" t="s">
        <v>869</v>
      </c>
      <c r="F185" s="82">
        <v>38.78</v>
      </c>
      <c r="G185" s="48">
        <f t="shared" si="10"/>
        <v>46.38</v>
      </c>
      <c r="H185" s="56">
        <v>1</v>
      </c>
      <c r="I185" s="57">
        <f t="shared" si="11"/>
        <v>46.38</v>
      </c>
      <c r="K185" s="464"/>
      <c r="L185" s="249"/>
      <c r="M185" s="51"/>
    </row>
    <row r="186" spans="1:13" ht="39">
      <c r="A186" s="81" t="s">
        <v>445</v>
      </c>
      <c r="B186" s="54" t="s">
        <v>701</v>
      </c>
      <c r="C186" s="166" t="s">
        <v>149</v>
      </c>
      <c r="D186" s="166">
        <v>9836</v>
      </c>
      <c r="E186" s="55" t="s">
        <v>869</v>
      </c>
      <c r="F186" s="82">
        <v>15.16</v>
      </c>
      <c r="G186" s="48">
        <f aca="true" t="shared" si="13" ref="G186:G217">ROUND(F186*(1+$G$320),2)</f>
        <v>18.13</v>
      </c>
      <c r="H186" s="56">
        <v>1</v>
      </c>
      <c r="I186" s="57">
        <f t="shared" si="11"/>
        <v>18.13</v>
      </c>
      <c r="K186" s="464"/>
      <c r="L186" s="249"/>
      <c r="M186" s="51"/>
    </row>
    <row r="187" spans="1:13" ht="39">
      <c r="A187" s="81" t="s">
        <v>445</v>
      </c>
      <c r="B187" s="54" t="s">
        <v>201</v>
      </c>
      <c r="C187" s="166" t="s">
        <v>149</v>
      </c>
      <c r="D187" s="166">
        <v>9837</v>
      </c>
      <c r="E187" s="55" t="s">
        <v>869</v>
      </c>
      <c r="F187" s="82">
        <v>13.43</v>
      </c>
      <c r="G187" s="48">
        <f t="shared" si="13"/>
        <v>16.06</v>
      </c>
      <c r="H187" s="56">
        <v>1</v>
      </c>
      <c r="I187" s="57">
        <f t="shared" si="11"/>
        <v>16.06</v>
      </c>
      <c r="K187" s="464"/>
      <c r="L187" s="249"/>
      <c r="M187" s="51"/>
    </row>
    <row r="188" spans="1:13" ht="39">
      <c r="A188" s="81" t="s">
        <v>445</v>
      </c>
      <c r="B188" s="54" t="s">
        <v>202</v>
      </c>
      <c r="C188" s="166" t="s">
        <v>149</v>
      </c>
      <c r="D188" s="166">
        <v>9838</v>
      </c>
      <c r="E188" s="55" t="s">
        <v>869</v>
      </c>
      <c r="F188" s="82">
        <v>9.31</v>
      </c>
      <c r="G188" s="48">
        <f t="shared" si="13"/>
        <v>11.13</v>
      </c>
      <c r="H188" s="56">
        <v>3</v>
      </c>
      <c r="I188" s="57">
        <f t="shared" si="11"/>
        <v>33.39</v>
      </c>
      <c r="K188" s="464"/>
      <c r="L188" s="249"/>
      <c r="M188" s="51"/>
    </row>
    <row r="189" spans="1:13" ht="39">
      <c r="A189" s="81" t="s">
        <v>445</v>
      </c>
      <c r="B189" s="54" t="s">
        <v>200</v>
      </c>
      <c r="C189" s="166" t="s">
        <v>149</v>
      </c>
      <c r="D189" s="166">
        <v>9835</v>
      </c>
      <c r="E189" s="55" t="s">
        <v>869</v>
      </c>
      <c r="F189" s="82">
        <v>5.46</v>
      </c>
      <c r="G189" s="48">
        <f t="shared" si="13"/>
        <v>6.53</v>
      </c>
      <c r="H189" s="56">
        <v>3</v>
      </c>
      <c r="I189" s="57">
        <f t="shared" si="11"/>
        <v>19.59</v>
      </c>
      <c r="K189" s="464"/>
      <c r="L189" s="249"/>
      <c r="M189" s="51"/>
    </row>
    <row r="190" spans="1:13" ht="26.25">
      <c r="A190" s="81" t="s">
        <v>445</v>
      </c>
      <c r="B190" s="54" t="s">
        <v>478</v>
      </c>
      <c r="C190" s="166" t="s">
        <v>149</v>
      </c>
      <c r="D190" s="166">
        <v>10233</v>
      </c>
      <c r="E190" s="55" t="s">
        <v>867</v>
      </c>
      <c r="F190" s="82">
        <v>96.14</v>
      </c>
      <c r="G190" s="48">
        <f t="shared" si="13"/>
        <v>114.98</v>
      </c>
      <c r="H190" s="56">
        <v>0.16666666666666666</v>
      </c>
      <c r="I190" s="57">
        <f t="shared" si="11"/>
        <v>19.16</v>
      </c>
      <c r="K190" s="464"/>
      <c r="L190" s="249"/>
      <c r="M190" s="51"/>
    </row>
    <row r="191" spans="1:13" ht="26.25">
      <c r="A191" s="81" t="s">
        <v>445</v>
      </c>
      <c r="B191" s="54" t="s">
        <v>479</v>
      </c>
      <c r="C191" s="166" t="s">
        <v>149</v>
      </c>
      <c r="D191" s="166">
        <v>10231</v>
      </c>
      <c r="E191" s="55" t="s">
        <v>867</v>
      </c>
      <c r="F191" s="82">
        <v>277.71</v>
      </c>
      <c r="G191" s="48">
        <f t="shared" si="13"/>
        <v>332.14</v>
      </c>
      <c r="H191" s="56">
        <v>0.16666666666666666</v>
      </c>
      <c r="I191" s="57">
        <f t="shared" si="11"/>
        <v>55.36</v>
      </c>
      <c r="K191" s="464"/>
      <c r="L191" s="249"/>
      <c r="M191" s="51"/>
    </row>
    <row r="192" spans="1:13" ht="26.25">
      <c r="A192" s="81" t="s">
        <v>445</v>
      </c>
      <c r="B192" s="54" t="s">
        <v>480</v>
      </c>
      <c r="C192" s="166" t="s">
        <v>149</v>
      </c>
      <c r="D192" s="166">
        <v>10232</v>
      </c>
      <c r="E192" s="55" t="s">
        <v>867</v>
      </c>
      <c r="F192" s="82">
        <v>155.4</v>
      </c>
      <c r="G192" s="48">
        <f t="shared" si="13"/>
        <v>185.86</v>
      </c>
      <c r="H192" s="56">
        <v>0.16666666666666666</v>
      </c>
      <c r="I192" s="57">
        <f t="shared" si="11"/>
        <v>30.98</v>
      </c>
      <c r="K192" s="464"/>
      <c r="L192" s="249"/>
      <c r="M192" s="51"/>
    </row>
    <row r="193" spans="1:13" ht="26.25">
      <c r="A193" s="81" t="s">
        <v>445</v>
      </c>
      <c r="B193" s="54" t="s">
        <v>481</v>
      </c>
      <c r="C193" s="166" t="s">
        <v>149</v>
      </c>
      <c r="D193" s="166">
        <v>10411</v>
      </c>
      <c r="E193" s="55" t="s">
        <v>867</v>
      </c>
      <c r="F193" s="82">
        <v>178.12</v>
      </c>
      <c r="G193" s="48">
        <f t="shared" si="13"/>
        <v>213.03</v>
      </c>
      <c r="H193" s="56">
        <v>0.16666666666666666</v>
      </c>
      <c r="I193" s="57">
        <f t="shared" si="11"/>
        <v>35.51</v>
      </c>
      <c r="K193" s="464"/>
      <c r="L193" s="249"/>
      <c r="M193" s="51"/>
    </row>
    <row r="194" spans="1:13" ht="26.25">
      <c r="A194" s="81" t="s">
        <v>445</v>
      </c>
      <c r="B194" s="54" t="s">
        <v>482</v>
      </c>
      <c r="C194" s="166" t="s">
        <v>149</v>
      </c>
      <c r="D194" s="166">
        <v>10408</v>
      </c>
      <c r="E194" s="55" t="s">
        <v>867</v>
      </c>
      <c r="F194" s="82">
        <v>278.88</v>
      </c>
      <c r="G194" s="48">
        <f t="shared" si="13"/>
        <v>333.54</v>
      </c>
      <c r="H194" s="56">
        <v>0.08333333333333333</v>
      </c>
      <c r="I194" s="57">
        <f t="shared" si="11"/>
        <v>27.8</v>
      </c>
      <c r="K194" s="464"/>
      <c r="L194" s="249"/>
      <c r="M194" s="51"/>
    </row>
    <row r="195" spans="1:13" ht="26.25">
      <c r="A195" s="81" t="s">
        <v>445</v>
      </c>
      <c r="B195" s="54" t="s">
        <v>483</v>
      </c>
      <c r="C195" s="166" t="s">
        <v>149</v>
      </c>
      <c r="D195" s="166">
        <v>10409</v>
      </c>
      <c r="E195" s="55" t="s">
        <v>867</v>
      </c>
      <c r="F195" s="82">
        <v>199.06</v>
      </c>
      <c r="G195" s="48">
        <f t="shared" si="13"/>
        <v>238.08</v>
      </c>
      <c r="H195" s="56">
        <v>0.08333333333333333</v>
      </c>
      <c r="I195" s="57">
        <f t="shared" si="11"/>
        <v>19.84</v>
      </c>
      <c r="K195" s="464"/>
      <c r="L195" s="249"/>
      <c r="M195" s="51"/>
    </row>
    <row r="196" spans="1:13" ht="26.25">
      <c r="A196" s="81" t="s">
        <v>445</v>
      </c>
      <c r="B196" s="54" t="s">
        <v>484</v>
      </c>
      <c r="C196" s="166" t="s">
        <v>149</v>
      </c>
      <c r="D196" s="166">
        <v>10405</v>
      </c>
      <c r="E196" s="55" t="s">
        <v>867</v>
      </c>
      <c r="F196" s="82">
        <v>398.81</v>
      </c>
      <c r="G196" s="48">
        <f t="shared" si="13"/>
        <v>476.98</v>
      </c>
      <c r="H196" s="56">
        <v>0.08333333333333333</v>
      </c>
      <c r="I196" s="57">
        <f t="shared" si="11"/>
        <v>39.75</v>
      </c>
      <c r="K196" s="464"/>
      <c r="L196" s="249"/>
      <c r="M196" s="51"/>
    </row>
    <row r="197" spans="1:13" ht="39">
      <c r="A197" s="81" t="s">
        <v>445</v>
      </c>
      <c r="B197" s="54" t="s">
        <v>203</v>
      </c>
      <c r="C197" s="166" t="s">
        <v>149</v>
      </c>
      <c r="D197" s="166">
        <v>3939</v>
      </c>
      <c r="E197" s="55" t="s">
        <v>867</v>
      </c>
      <c r="F197" s="82">
        <v>20.58</v>
      </c>
      <c r="G197" s="48">
        <f t="shared" si="13"/>
        <v>24.61</v>
      </c>
      <c r="H197" s="56">
        <v>0.3333333333333333</v>
      </c>
      <c r="I197" s="57">
        <f t="shared" si="11"/>
        <v>8.2</v>
      </c>
      <c r="K197" s="464"/>
      <c r="L197" s="249"/>
      <c r="M197" s="51"/>
    </row>
    <row r="198" spans="1:13" ht="39">
      <c r="A198" s="81" t="s">
        <v>445</v>
      </c>
      <c r="B198" s="54" t="s">
        <v>204</v>
      </c>
      <c r="C198" s="166" t="s">
        <v>149</v>
      </c>
      <c r="D198" s="166">
        <v>3912</v>
      </c>
      <c r="E198" s="55" t="s">
        <v>867</v>
      </c>
      <c r="F198" s="82">
        <v>31.52</v>
      </c>
      <c r="G198" s="48">
        <f t="shared" si="13"/>
        <v>37.7</v>
      </c>
      <c r="H198" s="56">
        <v>0.3333333333333333</v>
      </c>
      <c r="I198" s="57">
        <f t="shared" si="11"/>
        <v>12.57</v>
      </c>
      <c r="K198" s="464"/>
      <c r="L198" s="249"/>
      <c r="M198" s="51"/>
    </row>
    <row r="199" spans="1:13" ht="39">
      <c r="A199" s="81" t="s">
        <v>445</v>
      </c>
      <c r="B199" s="54" t="s">
        <v>205</v>
      </c>
      <c r="C199" s="166" t="s">
        <v>149</v>
      </c>
      <c r="D199" s="166">
        <v>3913</v>
      </c>
      <c r="E199" s="55" t="s">
        <v>867</v>
      </c>
      <c r="F199" s="82">
        <v>57.51</v>
      </c>
      <c r="G199" s="48">
        <f t="shared" si="13"/>
        <v>68.78</v>
      </c>
      <c r="H199" s="56">
        <v>0.3333333333333333</v>
      </c>
      <c r="I199" s="57">
        <f t="shared" si="11"/>
        <v>22.93</v>
      </c>
      <c r="K199" s="464"/>
      <c r="L199" s="249"/>
      <c r="M199" s="51"/>
    </row>
    <row r="200" spans="1:13" ht="51.75">
      <c r="A200" s="81" t="s">
        <v>445</v>
      </c>
      <c r="B200" s="54" t="s">
        <v>206</v>
      </c>
      <c r="C200" s="166" t="s">
        <v>149</v>
      </c>
      <c r="D200" s="166">
        <v>9884</v>
      </c>
      <c r="E200" s="55" t="s">
        <v>867</v>
      </c>
      <c r="F200" s="82">
        <v>62.16</v>
      </c>
      <c r="G200" s="48">
        <f t="shared" si="13"/>
        <v>74.34</v>
      </c>
      <c r="H200" s="56">
        <v>0.16666666666666666</v>
      </c>
      <c r="I200" s="57">
        <f aca="true" t="shared" si="14" ref="I200:I240">ROUND(G200*H200,2)</f>
        <v>12.39</v>
      </c>
      <c r="K200" s="464"/>
      <c r="L200" s="249"/>
      <c r="M200" s="51"/>
    </row>
    <row r="201" spans="1:13" ht="51.75">
      <c r="A201" s="81" t="s">
        <v>445</v>
      </c>
      <c r="B201" s="54" t="s">
        <v>207</v>
      </c>
      <c r="C201" s="166" t="s">
        <v>149</v>
      </c>
      <c r="D201" s="166">
        <v>9887</v>
      </c>
      <c r="E201" s="55" t="s">
        <v>867</v>
      </c>
      <c r="F201" s="82">
        <v>91.41</v>
      </c>
      <c r="G201" s="48">
        <f t="shared" si="13"/>
        <v>109.33</v>
      </c>
      <c r="H201" s="56">
        <v>0.16666666666666666</v>
      </c>
      <c r="I201" s="57">
        <f t="shared" si="14"/>
        <v>18.22</v>
      </c>
      <c r="K201" s="464"/>
      <c r="L201" s="249"/>
      <c r="M201" s="51"/>
    </row>
    <row r="202" spans="1:13" ht="26.25">
      <c r="A202" s="81" t="s">
        <v>445</v>
      </c>
      <c r="B202" s="54" t="s">
        <v>485</v>
      </c>
      <c r="C202" s="166" t="s">
        <v>149</v>
      </c>
      <c r="D202" s="166">
        <v>9889</v>
      </c>
      <c r="E202" s="55" t="s">
        <v>867</v>
      </c>
      <c r="F202" s="82">
        <v>151.24</v>
      </c>
      <c r="G202" s="48">
        <f t="shared" si="13"/>
        <v>180.88</v>
      </c>
      <c r="H202" s="56">
        <v>0.16666666666666666</v>
      </c>
      <c r="I202" s="57">
        <f t="shared" si="14"/>
        <v>30.15</v>
      </c>
      <c r="K202" s="464"/>
      <c r="L202" s="249"/>
      <c r="M202" s="51"/>
    </row>
    <row r="203" spans="1:13" ht="26.25">
      <c r="A203" s="81" t="s">
        <v>445</v>
      </c>
      <c r="B203" s="54" t="s">
        <v>5</v>
      </c>
      <c r="C203" s="166" t="s">
        <v>144</v>
      </c>
      <c r="D203" s="166" t="s">
        <v>118</v>
      </c>
      <c r="E203" s="55" t="s">
        <v>356</v>
      </c>
      <c r="F203" s="82">
        <v>24.82</v>
      </c>
      <c r="G203" s="48">
        <f t="shared" si="13"/>
        <v>29.68</v>
      </c>
      <c r="H203" s="56">
        <v>0.16666666666666666</v>
      </c>
      <c r="I203" s="57">
        <f>ROUND(G203*H203,2)</f>
        <v>4.95</v>
      </c>
      <c r="K203" s="464"/>
      <c r="L203" s="249"/>
      <c r="M203" s="51"/>
    </row>
    <row r="204" spans="1:13" ht="39">
      <c r="A204" s="81" t="s">
        <v>445</v>
      </c>
      <c r="B204" s="54" t="s">
        <v>108</v>
      </c>
      <c r="C204" s="166" t="s">
        <v>149</v>
      </c>
      <c r="D204" s="166">
        <v>1786</v>
      </c>
      <c r="E204" s="55" t="s">
        <v>867</v>
      </c>
      <c r="F204" s="82">
        <v>14.17</v>
      </c>
      <c r="G204" s="48">
        <f t="shared" si="13"/>
        <v>16.95</v>
      </c>
      <c r="H204" s="56">
        <v>0.16666666666666666</v>
      </c>
      <c r="I204" s="57">
        <f>ROUND(G204*H204,2)</f>
        <v>2.83</v>
      </c>
      <c r="K204" s="464"/>
      <c r="L204" s="249"/>
      <c r="M204" s="51"/>
    </row>
    <row r="205" spans="1:13" ht="51.75">
      <c r="A205" s="81" t="s">
        <v>445</v>
      </c>
      <c r="B205" s="54" t="s">
        <v>109</v>
      </c>
      <c r="C205" s="166" t="s">
        <v>149</v>
      </c>
      <c r="D205" s="166">
        <v>1803</v>
      </c>
      <c r="E205" s="55" t="s">
        <v>867</v>
      </c>
      <c r="F205" s="82">
        <v>13.86</v>
      </c>
      <c r="G205" s="48">
        <f t="shared" si="13"/>
        <v>16.58</v>
      </c>
      <c r="H205" s="56">
        <v>0.16666666666666666</v>
      </c>
      <c r="I205" s="57">
        <f>ROUND(G205*H205,2)</f>
        <v>2.76</v>
      </c>
      <c r="K205" s="464"/>
      <c r="L205" s="249"/>
      <c r="M205" s="51"/>
    </row>
    <row r="206" spans="1:13" ht="39">
      <c r="A206" s="81" t="s">
        <v>445</v>
      </c>
      <c r="B206" s="54" t="s">
        <v>486</v>
      </c>
      <c r="C206" s="166" t="s">
        <v>149</v>
      </c>
      <c r="D206" s="166">
        <v>1789</v>
      </c>
      <c r="E206" s="55" t="s">
        <v>867</v>
      </c>
      <c r="F206" s="82">
        <v>71.22</v>
      </c>
      <c r="G206" s="48">
        <f t="shared" si="13"/>
        <v>85.18</v>
      </c>
      <c r="H206" s="56">
        <v>0.16666666666666666</v>
      </c>
      <c r="I206" s="57">
        <f t="shared" si="14"/>
        <v>14.2</v>
      </c>
      <c r="K206" s="464"/>
      <c r="L206" s="249"/>
      <c r="M206" s="51"/>
    </row>
    <row r="207" spans="1:13" ht="39">
      <c r="A207" s="81" t="s">
        <v>445</v>
      </c>
      <c r="B207" s="54" t="s">
        <v>487</v>
      </c>
      <c r="C207" s="166" t="s">
        <v>149</v>
      </c>
      <c r="D207" s="166">
        <v>1790</v>
      </c>
      <c r="E207" s="55" t="s">
        <v>867</v>
      </c>
      <c r="F207" s="82">
        <v>118.61</v>
      </c>
      <c r="G207" s="48">
        <f t="shared" si="13"/>
        <v>141.86</v>
      </c>
      <c r="H207" s="56">
        <v>0.16666666666666666</v>
      </c>
      <c r="I207" s="57">
        <f t="shared" si="14"/>
        <v>23.64</v>
      </c>
      <c r="K207" s="464"/>
      <c r="L207" s="249"/>
      <c r="M207" s="51"/>
    </row>
    <row r="208" spans="1:13" ht="39">
      <c r="A208" s="81" t="s">
        <v>445</v>
      </c>
      <c r="B208" s="54" t="s">
        <v>488</v>
      </c>
      <c r="C208" s="166" t="s">
        <v>149</v>
      </c>
      <c r="D208" s="166">
        <v>1791</v>
      </c>
      <c r="E208" s="55" t="s">
        <v>867</v>
      </c>
      <c r="F208" s="82">
        <v>205.84</v>
      </c>
      <c r="G208" s="48">
        <f t="shared" si="13"/>
        <v>246.18</v>
      </c>
      <c r="H208" s="56">
        <v>0.16666666666666666</v>
      </c>
      <c r="I208" s="57">
        <f t="shared" si="14"/>
        <v>41.03</v>
      </c>
      <c r="K208" s="464"/>
      <c r="L208" s="249"/>
      <c r="M208" s="51"/>
    </row>
    <row r="209" spans="1:13" ht="26.25">
      <c r="A209" s="81" t="s">
        <v>445</v>
      </c>
      <c r="B209" s="54" t="s">
        <v>489</v>
      </c>
      <c r="C209" s="166" t="s">
        <v>149</v>
      </c>
      <c r="D209" s="166">
        <v>3458</v>
      </c>
      <c r="E209" s="55" t="s">
        <v>867</v>
      </c>
      <c r="F209" s="82">
        <v>29.18</v>
      </c>
      <c r="G209" s="48">
        <f t="shared" si="13"/>
        <v>34.9</v>
      </c>
      <c r="H209" s="56">
        <v>1</v>
      </c>
      <c r="I209" s="57">
        <f t="shared" si="14"/>
        <v>34.9</v>
      </c>
      <c r="K209" s="464"/>
      <c r="L209" s="249"/>
      <c r="M209" s="51"/>
    </row>
    <row r="210" spans="1:13" ht="26.25">
      <c r="A210" s="81" t="s">
        <v>445</v>
      </c>
      <c r="B210" s="54" t="s">
        <v>490</v>
      </c>
      <c r="C210" s="166" t="s">
        <v>149</v>
      </c>
      <c r="D210" s="166">
        <v>3471</v>
      </c>
      <c r="E210" s="55" t="s">
        <v>867</v>
      </c>
      <c r="F210" s="82">
        <v>44.78</v>
      </c>
      <c r="G210" s="48">
        <f t="shared" si="13"/>
        <v>53.56</v>
      </c>
      <c r="H210" s="56">
        <v>1</v>
      </c>
      <c r="I210" s="57">
        <f t="shared" si="14"/>
        <v>53.56</v>
      </c>
      <c r="K210" s="464"/>
      <c r="L210" s="249"/>
      <c r="M210" s="51"/>
    </row>
    <row r="211" spans="1:13" ht="26.25">
      <c r="A211" s="81" t="s">
        <v>445</v>
      </c>
      <c r="B211" s="54" t="s">
        <v>491</v>
      </c>
      <c r="C211" s="166" t="s">
        <v>149</v>
      </c>
      <c r="D211" s="166">
        <v>3470</v>
      </c>
      <c r="E211" s="55" t="s">
        <v>867</v>
      </c>
      <c r="F211" s="82">
        <v>81.5</v>
      </c>
      <c r="G211" s="48">
        <f t="shared" si="13"/>
        <v>97.47</v>
      </c>
      <c r="H211" s="56">
        <v>1</v>
      </c>
      <c r="I211" s="57">
        <f t="shared" si="14"/>
        <v>97.47</v>
      </c>
      <c r="K211" s="464"/>
      <c r="L211" s="249"/>
      <c r="M211" s="51"/>
    </row>
    <row r="212" spans="1:13" ht="51.75">
      <c r="A212" s="81" t="s">
        <v>445</v>
      </c>
      <c r="B212" s="54" t="s">
        <v>101</v>
      </c>
      <c r="C212" s="166" t="s">
        <v>149</v>
      </c>
      <c r="D212" s="166">
        <v>20147</v>
      </c>
      <c r="E212" s="55" t="s">
        <v>867</v>
      </c>
      <c r="F212" s="82">
        <v>6.73</v>
      </c>
      <c r="G212" s="48">
        <f t="shared" si="13"/>
        <v>8.05</v>
      </c>
      <c r="H212" s="56">
        <v>1</v>
      </c>
      <c r="I212" s="57">
        <f t="shared" si="14"/>
        <v>8.05</v>
      </c>
      <c r="K212" s="464"/>
      <c r="L212" s="249"/>
      <c r="M212" s="51"/>
    </row>
    <row r="213" spans="1:13" ht="51.75">
      <c r="A213" s="81" t="s">
        <v>445</v>
      </c>
      <c r="B213" s="54" t="s">
        <v>102</v>
      </c>
      <c r="C213" s="166" t="s">
        <v>149</v>
      </c>
      <c r="D213" s="166">
        <v>3524</v>
      </c>
      <c r="E213" s="55" t="s">
        <v>867</v>
      </c>
      <c r="F213" s="82">
        <v>7.98</v>
      </c>
      <c r="G213" s="48">
        <f t="shared" si="13"/>
        <v>9.54</v>
      </c>
      <c r="H213" s="56">
        <v>1</v>
      </c>
      <c r="I213" s="57">
        <f>ROUND(G213*H213,2)</f>
        <v>9.54</v>
      </c>
      <c r="K213" s="464"/>
      <c r="L213" s="249"/>
      <c r="M213" s="51"/>
    </row>
    <row r="214" spans="1:13" ht="39">
      <c r="A214" s="81" t="s">
        <v>445</v>
      </c>
      <c r="B214" s="54" t="s">
        <v>107</v>
      </c>
      <c r="C214" s="166" t="s">
        <v>149</v>
      </c>
      <c r="D214" s="166">
        <v>12402</v>
      </c>
      <c r="E214" s="55" t="s">
        <v>867</v>
      </c>
      <c r="F214" s="82">
        <v>90.52</v>
      </c>
      <c r="G214" s="48">
        <f t="shared" si="13"/>
        <v>108.26</v>
      </c>
      <c r="H214" s="56">
        <v>1</v>
      </c>
      <c r="I214" s="57">
        <f>ROUND(G214*H214,2)</f>
        <v>108.26</v>
      </c>
      <c r="K214" s="464"/>
      <c r="L214" s="249"/>
      <c r="M214" s="51"/>
    </row>
    <row r="215" spans="1:13" ht="39">
      <c r="A215" s="81" t="s">
        <v>445</v>
      </c>
      <c r="B215" s="54" t="s">
        <v>103</v>
      </c>
      <c r="C215" s="166" t="s">
        <v>149</v>
      </c>
      <c r="D215" s="166">
        <v>3508</v>
      </c>
      <c r="E215" s="55" t="s">
        <v>867</v>
      </c>
      <c r="F215" s="82">
        <v>38.83</v>
      </c>
      <c r="G215" s="48">
        <f t="shared" si="13"/>
        <v>46.44</v>
      </c>
      <c r="H215" s="56">
        <v>1</v>
      </c>
      <c r="I215" s="57">
        <f>ROUND(G215*H215,2)</f>
        <v>46.44</v>
      </c>
      <c r="K215" s="464"/>
      <c r="L215" s="249"/>
      <c r="M215" s="51"/>
    </row>
    <row r="216" spans="1:13" ht="39">
      <c r="A216" s="81" t="s">
        <v>445</v>
      </c>
      <c r="B216" s="54" t="s">
        <v>492</v>
      </c>
      <c r="C216" s="166" t="s">
        <v>149</v>
      </c>
      <c r="D216" s="166">
        <v>3542</v>
      </c>
      <c r="E216" s="55" t="s">
        <v>867</v>
      </c>
      <c r="F216" s="82">
        <v>0.58</v>
      </c>
      <c r="G216" s="48">
        <f t="shared" si="13"/>
        <v>0.69</v>
      </c>
      <c r="H216" s="56">
        <v>1</v>
      </c>
      <c r="I216" s="57">
        <f t="shared" si="14"/>
        <v>0.69</v>
      </c>
      <c r="K216" s="464"/>
      <c r="L216" s="249"/>
      <c r="M216" s="51"/>
    </row>
    <row r="217" spans="1:13" ht="26.25">
      <c r="A217" s="81" t="s">
        <v>445</v>
      </c>
      <c r="B217" s="54" t="s">
        <v>493</v>
      </c>
      <c r="C217" s="166" t="s">
        <v>149</v>
      </c>
      <c r="D217" s="166">
        <v>3529</v>
      </c>
      <c r="E217" s="55" t="s">
        <v>867</v>
      </c>
      <c r="F217" s="82">
        <v>0.8</v>
      </c>
      <c r="G217" s="48">
        <f t="shared" si="13"/>
        <v>0.96</v>
      </c>
      <c r="H217" s="56">
        <v>1</v>
      </c>
      <c r="I217" s="57">
        <f t="shared" si="14"/>
        <v>0.96</v>
      </c>
      <c r="K217" s="464"/>
      <c r="L217" s="249"/>
      <c r="M217" s="51"/>
    </row>
    <row r="218" spans="1:13" ht="39">
      <c r="A218" s="81" t="s">
        <v>445</v>
      </c>
      <c r="B218" s="54" t="s">
        <v>494</v>
      </c>
      <c r="C218" s="166" t="s">
        <v>149</v>
      </c>
      <c r="D218" s="166">
        <v>3536</v>
      </c>
      <c r="E218" s="55" t="s">
        <v>867</v>
      </c>
      <c r="F218" s="82">
        <v>2.41</v>
      </c>
      <c r="G218" s="48">
        <f aca="true" t="shared" si="15" ref="G218:G249">ROUND(F218*(1+$G$320),2)</f>
        <v>2.88</v>
      </c>
      <c r="H218" s="56">
        <v>1</v>
      </c>
      <c r="I218" s="57">
        <f t="shared" si="14"/>
        <v>2.88</v>
      </c>
      <c r="K218" s="464"/>
      <c r="L218" s="249"/>
      <c r="M218" s="51"/>
    </row>
    <row r="219" spans="1:13" ht="39">
      <c r="A219" s="81" t="s">
        <v>445</v>
      </c>
      <c r="B219" s="54" t="s">
        <v>495</v>
      </c>
      <c r="C219" s="166" t="s">
        <v>149</v>
      </c>
      <c r="D219" s="166">
        <v>3535</v>
      </c>
      <c r="E219" s="55" t="s">
        <v>867</v>
      </c>
      <c r="F219" s="82">
        <v>5.71</v>
      </c>
      <c r="G219" s="48">
        <f t="shared" si="15"/>
        <v>6.83</v>
      </c>
      <c r="H219" s="56">
        <v>1</v>
      </c>
      <c r="I219" s="57">
        <f t="shared" si="14"/>
        <v>6.83</v>
      </c>
      <c r="K219" s="464"/>
      <c r="L219" s="249"/>
      <c r="M219" s="51"/>
    </row>
    <row r="220" spans="1:13" ht="39">
      <c r="A220" s="81" t="s">
        <v>445</v>
      </c>
      <c r="B220" s="54" t="s">
        <v>496</v>
      </c>
      <c r="C220" s="166" t="s">
        <v>149</v>
      </c>
      <c r="D220" s="166">
        <v>3540</v>
      </c>
      <c r="E220" s="55" t="s">
        <v>867</v>
      </c>
      <c r="F220" s="82">
        <v>6.18</v>
      </c>
      <c r="G220" s="48">
        <f t="shared" si="15"/>
        <v>7.39</v>
      </c>
      <c r="H220" s="56">
        <v>1</v>
      </c>
      <c r="I220" s="57">
        <f t="shared" si="14"/>
        <v>7.39</v>
      </c>
      <c r="K220" s="464"/>
      <c r="L220" s="249"/>
      <c r="M220" s="51"/>
    </row>
    <row r="221" spans="1:13" ht="26.25">
      <c r="A221" s="81" t="s">
        <v>445</v>
      </c>
      <c r="B221" s="54" t="s">
        <v>497</v>
      </c>
      <c r="C221" s="166" t="s">
        <v>149</v>
      </c>
      <c r="D221" s="166">
        <v>3861</v>
      </c>
      <c r="E221" s="55" t="s">
        <v>867</v>
      </c>
      <c r="F221" s="82">
        <v>0.71</v>
      </c>
      <c r="G221" s="48">
        <f t="shared" si="15"/>
        <v>0.85</v>
      </c>
      <c r="H221" s="56">
        <v>3</v>
      </c>
      <c r="I221" s="57">
        <f t="shared" si="14"/>
        <v>2.55</v>
      </c>
      <c r="K221" s="464"/>
      <c r="L221" s="249"/>
      <c r="M221" s="51"/>
    </row>
    <row r="222" spans="1:13" ht="26.25">
      <c r="A222" s="81" t="s">
        <v>445</v>
      </c>
      <c r="B222" s="54" t="s">
        <v>498</v>
      </c>
      <c r="C222" s="166" t="s">
        <v>149</v>
      </c>
      <c r="D222" s="166">
        <v>3904</v>
      </c>
      <c r="E222" s="55" t="s">
        <v>867</v>
      </c>
      <c r="F222" s="82">
        <v>0.86</v>
      </c>
      <c r="G222" s="48">
        <f t="shared" si="15"/>
        <v>1.03</v>
      </c>
      <c r="H222" s="56">
        <v>3</v>
      </c>
      <c r="I222" s="57">
        <f t="shared" si="14"/>
        <v>3.09</v>
      </c>
      <c r="K222" s="464"/>
      <c r="L222" s="249"/>
      <c r="M222" s="51"/>
    </row>
    <row r="223" spans="1:13" ht="26.25">
      <c r="A223" s="81" t="s">
        <v>445</v>
      </c>
      <c r="B223" s="54" t="s">
        <v>499</v>
      </c>
      <c r="C223" s="166" t="s">
        <v>149</v>
      </c>
      <c r="D223" s="166">
        <v>3903</v>
      </c>
      <c r="E223" s="55" t="s">
        <v>867</v>
      </c>
      <c r="F223" s="82">
        <v>2.12</v>
      </c>
      <c r="G223" s="48">
        <f t="shared" si="15"/>
        <v>2.54</v>
      </c>
      <c r="H223" s="56">
        <v>3</v>
      </c>
      <c r="I223" s="57">
        <f t="shared" si="14"/>
        <v>7.62</v>
      </c>
      <c r="K223" s="464"/>
      <c r="L223" s="249"/>
      <c r="M223" s="51"/>
    </row>
    <row r="224" spans="1:13" ht="26.25">
      <c r="A224" s="81" t="s">
        <v>445</v>
      </c>
      <c r="B224" s="54" t="s">
        <v>500</v>
      </c>
      <c r="C224" s="166" t="s">
        <v>149</v>
      </c>
      <c r="D224" s="166">
        <v>3862</v>
      </c>
      <c r="E224" s="55" t="s">
        <v>867</v>
      </c>
      <c r="F224" s="82">
        <v>4.32</v>
      </c>
      <c r="G224" s="48">
        <f t="shared" si="15"/>
        <v>5.17</v>
      </c>
      <c r="H224" s="56">
        <v>2</v>
      </c>
      <c r="I224" s="57">
        <f t="shared" si="14"/>
        <v>10.34</v>
      </c>
      <c r="K224" s="464"/>
      <c r="L224" s="249"/>
      <c r="M224" s="51"/>
    </row>
    <row r="225" spans="1:13" ht="26.25">
      <c r="A225" s="81" t="s">
        <v>445</v>
      </c>
      <c r="B225" s="54" t="s">
        <v>501</v>
      </c>
      <c r="C225" s="166" t="s">
        <v>149</v>
      </c>
      <c r="D225" s="166">
        <v>3863</v>
      </c>
      <c r="E225" s="55" t="s">
        <v>867</v>
      </c>
      <c r="F225" s="82">
        <v>5.06</v>
      </c>
      <c r="G225" s="48">
        <f t="shared" si="15"/>
        <v>6.05</v>
      </c>
      <c r="H225" s="56">
        <v>2</v>
      </c>
      <c r="I225" s="57">
        <f t="shared" si="14"/>
        <v>12.1</v>
      </c>
      <c r="K225" s="464"/>
      <c r="L225" s="249"/>
      <c r="M225" s="51"/>
    </row>
    <row r="226" spans="1:13" ht="26.25">
      <c r="A226" s="81" t="s">
        <v>445</v>
      </c>
      <c r="B226" s="54" t="s">
        <v>502</v>
      </c>
      <c r="C226" s="166" t="s">
        <v>149</v>
      </c>
      <c r="D226" s="166">
        <v>3883</v>
      </c>
      <c r="E226" s="55" t="s">
        <v>867</v>
      </c>
      <c r="F226" s="82">
        <v>1.7</v>
      </c>
      <c r="G226" s="48">
        <f t="shared" si="15"/>
        <v>2.03</v>
      </c>
      <c r="H226" s="56">
        <v>3</v>
      </c>
      <c r="I226" s="57">
        <f t="shared" si="14"/>
        <v>6.09</v>
      </c>
      <c r="K226" s="464"/>
      <c r="L226" s="249"/>
      <c r="M226" s="51"/>
    </row>
    <row r="227" spans="1:13" ht="26.25">
      <c r="A227" s="81" t="s">
        <v>445</v>
      </c>
      <c r="B227" s="54" t="s">
        <v>503</v>
      </c>
      <c r="C227" s="166" t="s">
        <v>149</v>
      </c>
      <c r="D227" s="166">
        <v>3884</v>
      </c>
      <c r="E227" s="55" t="s">
        <v>867</v>
      </c>
      <c r="F227" s="82">
        <v>2.54</v>
      </c>
      <c r="G227" s="48">
        <f t="shared" si="15"/>
        <v>3.04</v>
      </c>
      <c r="H227" s="56">
        <v>3</v>
      </c>
      <c r="I227" s="57">
        <f t="shared" si="14"/>
        <v>9.12</v>
      </c>
      <c r="K227" s="464"/>
      <c r="L227" s="249"/>
      <c r="M227" s="51"/>
    </row>
    <row r="228" spans="1:13" ht="15.75">
      <c r="A228" s="81" t="s">
        <v>445</v>
      </c>
      <c r="B228" s="54" t="s">
        <v>504</v>
      </c>
      <c r="C228" s="166" t="s">
        <v>149</v>
      </c>
      <c r="D228" s="166">
        <v>3876</v>
      </c>
      <c r="E228" s="55" t="s">
        <v>867</v>
      </c>
      <c r="F228" s="82">
        <v>4.25</v>
      </c>
      <c r="G228" s="48">
        <f t="shared" si="15"/>
        <v>5.08</v>
      </c>
      <c r="H228" s="56">
        <v>3</v>
      </c>
      <c r="I228" s="57">
        <f t="shared" si="14"/>
        <v>15.24</v>
      </c>
      <c r="K228" s="464"/>
      <c r="L228" s="249"/>
      <c r="M228" s="51"/>
    </row>
    <row r="229" spans="1:13" ht="26.25">
      <c r="A229" s="81" t="s">
        <v>445</v>
      </c>
      <c r="B229" s="54" t="s">
        <v>505</v>
      </c>
      <c r="C229" s="166" t="s">
        <v>149</v>
      </c>
      <c r="D229" s="166">
        <v>3877</v>
      </c>
      <c r="E229" s="55" t="s">
        <v>867</v>
      </c>
      <c r="F229" s="82">
        <v>7.37</v>
      </c>
      <c r="G229" s="48">
        <f t="shared" si="15"/>
        <v>8.81</v>
      </c>
      <c r="H229" s="56">
        <v>1</v>
      </c>
      <c r="I229" s="57">
        <f t="shared" si="14"/>
        <v>8.81</v>
      </c>
      <c r="K229" s="464"/>
      <c r="L229" s="249"/>
      <c r="M229" s="51"/>
    </row>
    <row r="230" spans="1:13" ht="26.25">
      <c r="A230" s="81" t="s">
        <v>445</v>
      </c>
      <c r="B230" s="54" t="s">
        <v>506</v>
      </c>
      <c r="C230" s="166" t="s">
        <v>149</v>
      </c>
      <c r="D230" s="166">
        <v>3878</v>
      </c>
      <c r="E230" s="55" t="s">
        <v>867</v>
      </c>
      <c r="F230" s="82">
        <v>8.07</v>
      </c>
      <c r="G230" s="48">
        <f t="shared" si="15"/>
        <v>9.65</v>
      </c>
      <c r="H230" s="56">
        <v>1</v>
      </c>
      <c r="I230" s="57">
        <f t="shared" si="14"/>
        <v>9.65</v>
      </c>
      <c r="K230" s="464"/>
      <c r="L230" s="249"/>
      <c r="M230" s="51"/>
    </row>
    <row r="231" spans="1:13" ht="39">
      <c r="A231" s="81" t="s">
        <v>445</v>
      </c>
      <c r="B231" s="54" t="s">
        <v>507</v>
      </c>
      <c r="C231" s="166" t="s">
        <v>149</v>
      </c>
      <c r="D231" s="166">
        <v>3859</v>
      </c>
      <c r="E231" s="55" t="s">
        <v>867</v>
      </c>
      <c r="F231" s="82">
        <v>1.5</v>
      </c>
      <c r="G231" s="48">
        <f t="shared" si="15"/>
        <v>1.79</v>
      </c>
      <c r="H231" s="56">
        <v>2</v>
      </c>
      <c r="I231" s="57">
        <f t="shared" si="14"/>
        <v>3.58</v>
      </c>
      <c r="K231" s="464"/>
      <c r="L231" s="249"/>
      <c r="M231" s="51"/>
    </row>
    <row r="232" spans="1:13" ht="39">
      <c r="A232" s="81" t="s">
        <v>445</v>
      </c>
      <c r="B232" s="54" t="s">
        <v>508</v>
      </c>
      <c r="C232" s="166" t="s">
        <v>149</v>
      </c>
      <c r="D232" s="166">
        <v>3906</v>
      </c>
      <c r="E232" s="55" t="s">
        <v>867</v>
      </c>
      <c r="F232" s="82">
        <v>1.79</v>
      </c>
      <c r="G232" s="48">
        <f t="shared" si="15"/>
        <v>2.14</v>
      </c>
      <c r="H232" s="56">
        <v>2</v>
      </c>
      <c r="I232" s="57">
        <f t="shared" si="14"/>
        <v>4.28</v>
      </c>
      <c r="K232" s="464"/>
      <c r="L232" s="249"/>
      <c r="M232" s="51"/>
    </row>
    <row r="233" spans="1:13" ht="39">
      <c r="A233" s="81" t="s">
        <v>445</v>
      </c>
      <c r="B233" s="54" t="s">
        <v>509</v>
      </c>
      <c r="C233" s="166" t="s">
        <v>149</v>
      </c>
      <c r="D233" s="166">
        <v>3860</v>
      </c>
      <c r="E233" s="55" t="s">
        <v>867</v>
      </c>
      <c r="F233" s="82">
        <v>5.88</v>
      </c>
      <c r="G233" s="48">
        <f t="shared" si="15"/>
        <v>7.03</v>
      </c>
      <c r="H233" s="56">
        <v>2</v>
      </c>
      <c r="I233" s="57">
        <f t="shared" si="14"/>
        <v>14.06</v>
      </c>
      <c r="K233" s="464"/>
      <c r="L233" s="249"/>
      <c r="M233" s="51"/>
    </row>
    <row r="234" spans="1:13" ht="39">
      <c r="A234" s="81"/>
      <c r="B234" s="54" t="s">
        <v>104</v>
      </c>
      <c r="C234" s="166" t="s">
        <v>149</v>
      </c>
      <c r="D234" s="166">
        <v>3908</v>
      </c>
      <c r="E234" s="55" t="s">
        <v>867</v>
      </c>
      <c r="F234" s="82">
        <v>5.44</v>
      </c>
      <c r="G234" s="48">
        <f t="shared" si="15"/>
        <v>6.51</v>
      </c>
      <c r="H234" s="56">
        <v>0.16666666666666666</v>
      </c>
      <c r="I234" s="57">
        <f>ROUND(G234*H234,2)</f>
        <v>1.09</v>
      </c>
      <c r="K234" s="464"/>
      <c r="L234" s="249"/>
      <c r="M234" s="51"/>
    </row>
    <row r="235" spans="1:13" ht="39">
      <c r="A235" s="81"/>
      <c r="B235" s="54" t="s">
        <v>106</v>
      </c>
      <c r="C235" s="166" t="s">
        <v>149</v>
      </c>
      <c r="D235" s="166">
        <v>3909</v>
      </c>
      <c r="E235" s="55" t="s">
        <v>867</v>
      </c>
      <c r="F235" s="82">
        <v>7.4</v>
      </c>
      <c r="G235" s="48">
        <f t="shared" si="15"/>
        <v>8.85</v>
      </c>
      <c r="H235" s="56">
        <v>0.16666666666666666</v>
      </c>
      <c r="I235" s="57">
        <f>ROUND(G235*H235,2)</f>
        <v>1.48</v>
      </c>
      <c r="K235" s="464"/>
      <c r="L235" s="249"/>
      <c r="M235" s="51"/>
    </row>
    <row r="236" spans="1:13" ht="39">
      <c r="A236" s="81"/>
      <c r="B236" s="54" t="s">
        <v>105</v>
      </c>
      <c r="C236" s="166" t="s">
        <v>149</v>
      </c>
      <c r="D236" s="166">
        <v>3910</v>
      </c>
      <c r="E236" s="55" t="s">
        <v>867</v>
      </c>
      <c r="F236" s="82">
        <v>12.03</v>
      </c>
      <c r="G236" s="48">
        <f t="shared" si="15"/>
        <v>14.39</v>
      </c>
      <c r="H236" s="56">
        <v>0.16666666666666666</v>
      </c>
      <c r="I236" s="57">
        <f>ROUND(G236*H236,2)</f>
        <v>2.4</v>
      </c>
      <c r="K236" s="464"/>
      <c r="L236" s="249"/>
      <c r="M236" s="51"/>
    </row>
    <row r="237" spans="1:13" ht="39">
      <c r="A237" s="81" t="s">
        <v>445</v>
      </c>
      <c r="B237" s="54" t="s">
        <v>510</v>
      </c>
      <c r="C237" s="166" t="s">
        <v>149</v>
      </c>
      <c r="D237" s="166">
        <v>3521</v>
      </c>
      <c r="E237" s="55" t="s">
        <v>867</v>
      </c>
      <c r="F237" s="82">
        <v>2.18</v>
      </c>
      <c r="G237" s="48">
        <f t="shared" si="15"/>
        <v>2.61</v>
      </c>
      <c r="H237" s="56">
        <v>2</v>
      </c>
      <c r="I237" s="57">
        <f t="shared" si="14"/>
        <v>5.22</v>
      </c>
      <c r="K237" s="464"/>
      <c r="L237" s="249"/>
      <c r="M237" s="51"/>
    </row>
    <row r="238" spans="1:13" ht="39">
      <c r="A238" s="81" t="s">
        <v>445</v>
      </c>
      <c r="B238" s="54" t="s">
        <v>511</v>
      </c>
      <c r="C238" s="166" t="s">
        <v>149</v>
      </c>
      <c r="D238" s="166">
        <v>3522</v>
      </c>
      <c r="E238" s="55" t="s">
        <v>867</v>
      </c>
      <c r="F238" s="82">
        <v>3.67</v>
      </c>
      <c r="G238" s="48">
        <f t="shared" si="15"/>
        <v>4.39</v>
      </c>
      <c r="H238" s="56">
        <v>2</v>
      </c>
      <c r="I238" s="57">
        <f t="shared" si="14"/>
        <v>8.78</v>
      </c>
      <c r="K238" s="464"/>
      <c r="L238" s="249"/>
      <c r="M238" s="51"/>
    </row>
    <row r="239" spans="1:13" ht="15.75">
      <c r="A239" s="81" t="s">
        <v>445</v>
      </c>
      <c r="B239" s="54" t="s">
        <v>512</v>
      </c>
      <c r="C239" s="166" t="s">
        <v>149</v>
      </c>
      <c r="D239" s="166">
        <v>7098</v>
      </c>
      <c r="E239" s="55" t="s">
        <v>867</v>
      </c>
      <c r="F239" s="82">
        <v>3.39</v>
      </c>
      <c r="G239" s="48">
        <f t="shared" si="15"/>
        <v>4.05</v>
      </c>
      <c r="H239" s="56">
        <v>1</v>
      </c>
      <c r="I239" s="57">
        <f t="shared" si="14"/>
        <v>4.05</v>
      </c>
      <c r="K239" s="464"/>
      <c r="L239" s="249"/>
      <c r="M239" s="51"/>
    </row>
    <row r="240" spans="1:13" ht="15.75">
      <c r="A240" s="81" t="s">
        <v>445</v>
      </c>
      <c r="B240" s="54" t="s">
        <v>513</v>
      </c>
      <c r="C240" s="166" t="s">
        <v>149</v>
      </c>
      <c r="D240" s="166">
        <v>7123</v>
      </c>
      <c r="E240" s="55" t="s">
        <v>867</v>
      </c>
      <c r="F240" s="82">
        <v>4.37</v>
      </c>
      <c r="G240" s="48">
        <f t="shared" si="15"/>
        <v>5.23</v>
      </c>
      <c r="H240" s="56">
        <v>1</v>
      </c>
      <c r="I240" s="57">
        <f t="shared" si="14"/>
        <v>5.23</v>
      </c>
      <c r="K240" s="464"/>
      <c r="L240" s="249"/>
      <c r="M240" s="51"/>
    </row>
    <row r="241" spans="1:13" ht="15.75">
      <c r="A241" s="81" t="s">
        <v>445</v>
      </c>
      <c r="B241" s="54" t="s">
        <v>514</v>
      </c>
      <c r="C241" s="166" t="s">
        <v>149</v>
      </c>
      <c r="D241" s="166">
        <v>7094</v>
      </c>
      <c r="E241" s="55" t="s">
        <v>867</v>
      </c>
      <c r="F241" s="82">
        <v>12.41</v>
      </c>
      <c r="G241" s="48">
        <f t="shared" si="15"/>
        <v>14.84</v>
      </c>
      <c r="H241" s="56">
        <v>1</v>
      </c>
      <c r="I241" s="57">
        <f aca="true" t="shared" si="16" ref="I241:I255">ROUND(G241*H241,2)</f>
        <v>14.84</v>
      </c>
      <c r="K241" s="464"/>
      <c r="L241" s="249"/>
      <c r="M241" s="51"/>
    </row>
    <row r="242" spans="1:13" ht="15.75">
      <c r="A242" s="81" t="s">
        <v>445</v>
      </c>
      <c r="B242" s="54" t="s">
        <v>515</v>
      </c>
      <c r="C242" s="166" t="s">
        <v>149</v>
      </c>
      <c r="D242" s="166">
        <v>7117</v>
      </c>
      <c r="E242" s="55" t="s">
        <v>867</v>
      </c>
      <c r="F242" s="82">
        <v>24.36</v>
      </c>
      <c r="G242" s="48">
        <f t="shared" si="15"/>
        <v>29.13</v>
      </c>
      <c r="H242" s="56">
        <v>1</v>
      </c>
      <c r="I242" s="57">
        <f t="shared" si="16"/>
        <v>29.13</v>
      </c>
      <c r="K242" s="464"/>
      <c r="L242" s="249"/>
      <c r="M242" s="51"/>
    </row>
    <row r="243" spans="1:13" ht="15.75">
      <c r="A243" s="81" t="s">
        <v>445</v>
      </c>
      <c r="B243" s="54" t="s">
        <v>516</v>
      </c>
      <c r="C243" s="166" t="s">
        <v>149</v>
      </c>
      <c r="D243" s="166">
        <v>7118</v>
      </c>
      <c r="E243" s="55" t="s">
        <v>867</v>
      </c>
      <c r="F243" s="82">
        <v>27.4</v>
      </c>
      <c r="G243" s="48">
        <f t="shared" si="15"/>
        <v>32.77</v>
      </c>
      <c r="H243" s="56">
        <v>1</v>
      </c>
      <c r="I243" s="57">
        <f t="shared" si="16"/>
        <v>32.77</v>
      </c>
      <c r="K243" s="464"/>
      <c r="L243" s="249"/>
      <c r="M243" s="51"/>
    </row>
    <row r="244" spans="1:13" ht="39">
      <c r="A244" s="81"/>
      <c r="B244" s="54" t="s">
        <v>100</v>
      </c>
      <c r="C244" s="166" t="s">
        <v>149</v>
      </c>
      <c r="D244" s="166">
        <v>7139</v>
      </c>
      <c r="E244" s="55" t="s">
        <v>867</v>
      </c>
      <c r="F244" s="82">
        <v>1.37</v>
      </c>
      <c r="G244" s="48">
        <f t="shared" si="15"/>
        <v>1.64</v>
      </c>
      <c r="H244" s="56">
        <v>1</v>
      </c>
      <c r="I244" s="57">
        <f>ROUND(G244*H244,2)</f>
        <v>1.64</v>
      </c>
      <c r="K244" s="464"/>
      <c r="L244" s="249"/>
      <c r="M244" s="51"/>
    </row>
    <row r="245" spans="1:13" ht="26.25">
      <c r="A245" s="81"/>
      <c r="B245" s="54" t="s">
        <v>99</v>
      </c>
      <c r="C245" s="166" t="s">
        <v>149</v>
      </c>
      <c r="D245" s="166">
        <v>6295</v>
      </c>
      <c r="E245" s="55" t="s">
        <v>867</v>
      </c>
      <c r="F245" s="82">
        <v>12.04</v>
      </c>
      <c r="G245" s="48">
        <f t="shared" si="15"/>
        <v>14.4</v>
      </c>
      <c r="H245" s="56">
        <v>0.16666666666666666</v>
      </c>
      <c r="I245" s="57">
        <f>ROUND(G245*H245,2)</f>
        <v>2.4</v>
      </c>
      <c r="K245" s="464"/>
      <c r="L245" s="249"/>
      <c r="M245" s="51"/>
    </row>
    <row r="246" spans="1:13" ht="26.25">
      <c r="A246" s="81"/>
      <c r="B246" s="54" t="s">
        <v>98</v>
      </c>
      <c r="C246" s="166" t="s">
        <v>149</v>
      </c>
      <c r="D246" s="166">
        <v>6323</v>
      </c>
      <c r="E246" s="55" t="s">
        <v>867</v>
      </c>
      <c r="F246" s="82">
        <v>19.38</v>
      </c>
      <c r="G246" s="48">
        <f t="shared" si="15"/>
        <v>23.18</v>
      </c>
      <c r="H246" s="56">
        <v>0.16666666666666666</v>
      </c>
      <c r="I246" s="57">
        <f>ROUND(G246*H246,2)</f>
        <v>3.86</v>
      </c>
      <c r="K246" s="464"/>
      <c r="L246" s="249"/>
      <c r="M246" s="51"/>
    </row>
    <row r="247" spans="1:13" ht="26.25">
      <c r="A247" s="81" t="s">
        <v>445</v>
      </c>
      <c r="B247" s="54" t="s">
        <v>517</v>
      </c>
      <c r="C247" s="166" t="s">
        <v>149</v>
      </c>
      <c r="D247" s="166">
        <v>3520</v>
      </c>
      <c r="E247" s="55" t="s">
        <v>867</v>
      </c>
      <c r="F247" s="82">
        <v>8.62</v>
      </c>
      <c r="G247" s="48">
        <f t="shared" si="15"/>
        <v>10.31</v>
      </c>
      <c r="H247" s="56">
        <v>1</v>
      </c>
      <c r="I247" s="57">
        <f t="shared" si="16"/>
        <v>10.31</v>
      </c>
      <c r="K247" s="464"/>
      <c r="L247" s="249"/>
      <c r="M247" s="51"/>
    </row>
    <row r="248" spans="1:13" ht="26.25">
      <c r="A248" s="81" t="s">
        <v>445</v>
      </c>
      <c r="B248" s="54" t="s">
        <v>518</v>
      </c>
      <c r="C248" s="166" t="s">
        <v>149</v>
      </c>
      <c r="D248" s="166">
        <v>3509</v>
      </c>
      <c r="E248" s="55" t="s">
        <v>867</v>
      </c>
      <c r="F248" s="82">
        <v>6.78</v>
      </c>
      <c r="G248" s="48">
        <f t="shared" si="15"/>
        <v>8.11</v>
      </c>
      <c r="H248" s="56">
        <v>1</v>
      </c>
      <c r="I248" s="57">
        <f t="shared" si="16"/>
        <v>8.11</v>
      </c>
      <c r="K248" s="464"/>
      <c r="L248" s="249"/>
      <c r="M248" s="51"/>
    </row>
    <row r="249" spans="1:13" ht="26.25">
      <c r="A249" s="81" t="s">
        <v>445</v>
      </c>
      <c r="B249" s="54" t="s">
        <v>519</v>
      </c>
      <c r="C249" s="166" t="s">
        <v>149</v>
      </c>
      <c r="D249" s="166">
        <v>3526</v>
      </c>
      <c r="E249" s="55" t="s">
        <v>867</v>
      </c>
      <c r="F249" s="82">
        <v>2.61</v>
      </c>
      <c r="G249" s="48">
        <f t="shared" si="15"/>
        <v>3.12</v>
      </c>
      <c r="H249" s="56">
        <v>1</v>
      </c>
      <c r="I249" s="57">
        <f t="shared" si="16"/>
        <v>3.12</v>
      </c>
      <c r="K249" s="464"/>
      <c r="L249" s="249"/>
      <c r="M249" s="51"/>
    </row>
    <row r="250" spans="1:13" ht="26.25">
      <c r="A250" s="81" t="s">
        <v>445</v>
      </c>
      <c r="B250" s="54" t="s">
        <v>520</v>
      </c>
      <c r="C250" s="166" t="s">
        <v>149</v>
      </c>
      <c r="D250" s="166">
        <v>37949</v>
      </c>
      <c r="E250" s="55" t="s">
        <v>867</v>
      </c>
      <c r="F250" s="82">
        <v>1.94</v>
      </c>
      <c r="G250" s="48">
        <f aca="true" t="shared" si="17" ref="G250:G257">ROUND(F250*(1+$G$320),2)</f>
        <v>2.32</v>
      </c>
      <c r="H250" s="56">
        <v>1</v>
      </c>
      <c r="I250" s="57">
        <f t="shared" si="16"/>
        <v>2.32</v>
      </c>
      <c r="K250" s="464"/>
      <c r="L250" s="249"/>
      <c r="M250" s="51"/>
    </row>
    <row r="251" spans="1:13" ht="26.25">
      <c r="A251" s="81" t="s">
        <v>445</v>
      </c>
      <c r="B251" s="54" t="s">
        <v>521</v>
      </c>
      <c r="C251" s="166" t="s">
        <v>149</v>
      </c>
      <c r="D251" s="166">
        <v>20179</v>
      </c>
      <c r="E251" s="55" t="s">
        <v>867</v>
      </c>
      <c r="F251" s="82">
        <v>54.3</v>
      </c>
      <c r="G251" s="48">
        <f t="shared" si="17"/>
        <v>64.94</v>
      </c>
      <c r="H251" s="56">
        <v>1</v>
      </c>
      <c r="I251" s="57">
        <f t="shared" si="16"/>
        <v>64.94</v>
      </c>
      <c r="K251" s="464"/>
      <c r="L251" s="249"/>
      <c r="M251" s="51"/>
    </row>
    <row r="252" spans="1:13" ht="26.25">
      <c r="A252" s="81" t="s">
        <v>445</v>
      </c>
      <c r="B252" s="54" t="s">
        <v>522</v>
      </c>
      <c r="C252" s="166" t="s">
        <v>149</v>
      </c>
      <c r="D252" s="166">
        <v>20177</v>
      </c>
      <c r="E252" s="55" t="s">
        <v>867</v>
      </c>
      <c r="F252" s="82">
        <v>31.45</v>
      </c>
      <c r="G252" s="48">
        <f t="shared" si="17"/>
        <v>37.61</v>
      </c>
      <c r="H252" s="56">
        <v>1</v>
      </c>
      <c r="I252" s="57">
        <f t="shared" si="16"/>
        <v>37.61</v>
      </c>
      <c r="K252" s="464"/>
      <c r="L252" s="249"/>
      <c r="M252" s="51"/>
    </row>
    <row r="253" spans="1:13" ht="26.25">
      <c r="A253" s="81" t="s">
        <v>445</v>
      </c>
      <c r="B253" s="54" t="s">
        <v>523</v>
      </c>
      <c r="C253" s="166" t="s">
        <v>149</v>
      </c>
      <c r="D253" s="166">
        <v>7097</v>
      </c>
      <c r="E253" s="55" t="s">
        <v>867</v>
      </c>
      <c r="F253" s="82">
        <v>7.35</v>
      </c>
      <c r="G253" s="48">
        <f t="shared" si="17"/>
        <v>8.79</v>
      </c>
      <c r="H253" s="56">
        <v>1</v>
      </c>
      <c r="I253" s="57">
        <f t="shared" si="16"/>
        <v>8.79</v>
      </c>
      <c r="K253" s="464"/>
      <c r="L253" s="249"/>
      <c r="M253" s="51"/>
    </row>
    <row r="254" spans="1:13" ht="26.25">
      <c r="A254" s="81" t="s">
        <v>445</v>
      </c>
      <c r="B254" s="54" t="s">
        <v>524</v>
      </c>
      <c r="C254" s="166" t="s">
        <v>149</v>
      </c>
      <c r="D254" s="166">
        <v>37948</v>
      </c>
      <c r="E254" s="55" t="s">
        <v>867</v>
      </c>
      <c r="F254" s="82">
        <v>3.35</v>
      </c>
      <c r="G254" s="48">
        <f t="shared" si="17"/>
        <v>4.01</v>
      </c>
      <c r="H254" s="56">
        <v>1</v>
      </c>
      <c r="I254" s="57">
        <f t="shared" si="16"/>
        <v>4.01</v>
      </c>
      <c r="K254" s="464"/>
      <c r="L254" s="249"/>
      <c r="M254" s="51"/>
    </row>
    <row r="255" spans="1:13" ht="39">
      <c r="A255" s="81" t="s">
        <v>445</v>
      </c>
      <c r="B255" s="54" t="s">
        <v>525</v>
      </c>
      <c r="C255" s="166" t="s">
        <v>149</v>
      </c>
      <c r="D255" s="166">
        <v>3873</v>
      </c>
      <c r="E255" s="55" t="s">
        <v>867</v>
      </c>
      <c r="F255" s="82">
        <v>11.25</v>
      </c>
      <c r="G255" s="48">
        <f t="shared" si="17"/>
        <v>13.46</v>
      </c>
      <c r="H255" s="56">
        <v>2</v>
      </c>
      <c r="I255" s="57">
        <f t="shared" si="16"/>
        <v>26.92</v>
      </c>
      <c r="K255" s="464"/>
      <c r="L255" s="249"/>
      <c r="M255" s="51"/>
    </row>
    <row r="256" spans="1:13" ht="39">
      <c r="A256" s="83" t="s">
        <v>445</v>
      </c>
      <c r="B256" s="60" t="s">
        <v>526</v>
      </c>
      <c r="C256" s="168" t="s">
        <v>149</v>
      </c>
      <c r="D256" s="168">
        <v>3847</v>
      </c>
      <c r="E256" s="55" t="s">
        <v>867</v>
      </c>
      <c r="F256" s="82">
        <v>30.53</v>
      </c>
      <c r="G256" s="48">
        <f t="shared" si="17"/>
        <v>36.51</v>
      </c>
      <c r="H256" s="62">
        <v>3</v>
      </c>
      <c r="I256" s="63">
        <f>ROUND(G256*H256,2)</f>
        <v>109.53</v>
      </c>
      <c r="K256" s="464"/>
      <c r="L256" s="249"/>
      <c r="M256" s="51"/>
    </row>
    <row r="257" spans="1:13" ht="15.75">
      <c r="A257" s="83"/>
      <c r="B257" s="60" t="s">
        <v>730</v>
      </c>
      <c r="C257" s="168" t="s">
        <v>144</v>
      </c>
      <c r="D257" s="168" t="s">
        <v>731</v>
      </c>
      <c r="E257" s="55" t="s">
        <v>356</v>
      </c>
      <c r="F257" s="82">
        <v>687.53</v>
      </c>
      <c r="G257" s="48">
        <f t="shared" si="17"/>
        <v>822.29</v>
      </c>
      <c r="H257" s="62">
        <v>0.08333333333333333</v>
      </c>
      <c r="I257" s="63">
        <f>ROUND(G257*H257,2)</f>
        <v>68.52</v>
      </c>
      <c r="K257" s="464"/>
      <c r="L257" s="249"/>
      <c r="M257" s="51"/>
    </row>
    <row r="258" spans="1:13" ht="15.75">
      <c r="A258" s="83"/>
      <c r="B258" s="60"/>
      <c r="C258" s="168"/>
      <c r="D258" s="168"/>
      <c r="E258" s="61"/>
      <c r="F258" s="385"/>
      <c r="G258" s="48"/>
      <c r="H258" s="62"/>
      <c r="I258" s="63"/>
      <c r="K258" s="181"/>
      <c r="L258" s="249"/>
      <c r="M258" s="51"/>
    </row>
    <row r="259" spans="1:13" ht="15" customHeight="1" thickBot="1">
      <c r="A259" s="712" t="s">
        <v>527</v>
      </c>
      <c r="B259" s="712"/>
      <c r="C259" s="161"/>
      <c r="D259" s="161"/>
      <c r="E259" s="84"/>
      <c r="F259" s="386"/>
      <c r="G259" s="84"/>
      <c r="H259" s="84"/>
      <c r="I259" s="85">
        <f>SUM(I154:I258)</f>
        <v>3099.2300000000023</v>
      </c>
      <c r="K259" s="181"/>
      <c r="L259" s="52"/>
      <c r="M259" s="51"/>
    </row>
    <row r="260" spans="1:13" ht="15.75" customHeight="1" thickBot="1">
      <c r="A260" s="706" t="s">
        <v>528</v>
      </c>
      <c r="B260" s="706"/>
      <c r="C260" s="162"/>
      <c r="D260" s="162"/>
      <c r="E260" s="86"/>
      <c r="F260" s="387"/>
      <c r="G260" s="86"/>
      <c r="H260" s="86"/>
      <c r="I260" s="87">
        <f>I259*12</f>
        <v>37190.760000000024</v>
      </c>
      <c r="K260" s="181"/>
      <c r="L260" s="52"/>
      <c r="M260" s="51"/>
    </row>
    <row r="261" spans="1:13" ht="16.5" thickBot="1">
      <c r="A261" s="88"/>
      <c r="B261" s="89"/>
      <c r="C261" s="170"/>
      <c r="D261" s="170"/>
      <c r="E261" s="89"/>
      <c r="F261" s="388"/>
      <c r="G261" s="89"/>
      <c r="H261" s="89"/>
      <c r="I261" s="89"/>
      <c r="L261" s="52"/>
      <c r="M261" s="51"/>
    </row>
    <row r="262" spans="1:13" ht="16.5" thickBot="1">
      <c r="A262" s="711" t="s">
        <v>667</v>
      </c>
      <c r="B262" s="711"/>
      <c r="C262" s="711"/>
      <c r="D262" s="711"/>
      <c r="E262" s="711"/>
      <c r="F262" s="711"/>
      <c r="G262" s="711"/>
      <c r="H262" s="711"/>
      <c r="I262" s="711"/>
      <c r="L262" s="52"/>
      <c r="M262" s="51"/>
    </row>
    <row r="263" spans="1:13" s="80" customFormat="1" ht="39.75" thickBot="1">
      <c r="A263" s="76" t="s">
        <v>349</v>
      </c>
      <c r="B263" s="76" t="s">
        <v>350</v>
      </c>
      <c r="C263" s="164" t="s">
        <v>142</v>
      </c>
      <c r="D263" s="164" t="s">
        <v>143</v>
      </c>
      <c r="E263" s="77" t="s">
        <v>262</v>
      </c>
      <c r="F263" s="384" t="s">
        <v>351</v>
      </c>
      <c r="G263" s="44" t="s">
        <v>352</v>
      </c>
      <c r="H263" s="78" t="s">
        <v>353</v>
      </c>
      <c r="I263" s="79" t="s">
        <v>467</v>
      </c>
      <c r="J263" s="251"/>
      <c r="L263" s="52"/>
      <c r="M263" s="51"/>
    </row>
    <row r="264" spans="1:13" ht="26.25">
      <c r="A264" s="46" t="s">
        <v>984</v>
      </c>
      <c r="B264" s="47" t="s">
        <v>529</v>
      </c>
      <c r="C264" s="165" t="s">
        <v>149</v>
      </c>
      <c r="D264" s="165">
        <v>7356</v>
      </c>
      <c r="E264" s="55" t="s">
        <v>868</v>
      </c>
      <c r="F264" s="82">
        <v>17.93</v>
      </c>
      <c r="G264" s="48">
        <f aca="true" t="shared" si="18" ref="G264:G306">ROUND(F264*(1+$G$320),2)</f>
        <v>21.44</v>
      </c>
      <c r="H264" s="90">
        <v>50</v>
      </c>
      <c r="I264" s="50">
        <f aca="true" t="shared" si="19" ref="I264:I306">ROUND(G264*H264,2)</f>
        <v>1072</v>
      </c>
      <c r="K264" s="464"/>
      <c r="L264" s="249"/>
      <c r="M264" s="51"/>
    </row>
    <row r="265" spans="1:13" ht="26.25">
      <c r="A265" s="46" t="s">
        <v>984</v>
      </c>
      <c r="B265" s="54" t="s">
        <v>531</v>
      </c>
      <c r="C265" s="166" t="s">
        <v>144</v>
      </c>
      <c r="D265" s="166" t="s">
        <v>865</v>
      </c>
      <c r="E265" s="55" t="s">
        <v>530</v>
      </c>
      <c r="F265" s="82">
        <v>21.25</v>
      </c>
      <c r="G265" s="48">
        <f t="shared" si="18"/>
        <v>25.42</v>
      </c>
      <c r="H265" s="91">
        <v>9</v>
      </c>
      <c r="I265" s="57">
        <f t="shared" si="19"/>
        <v>228.78</v>
      </c>
      <c r="K265" s="464"/>
      <c r="L265" s="249"/>
      <c r="M265" s="51"/>
    </row>
    <row r="266" spans="1:13" ht="26.25">
      <c r="A266" s="46" t="s">
        <v>984</v>
      </c>
      <c r="B266" s="54" t="s">
        <v>532</v>
      </c>
      <c r="C266" s="166" t="s">
        <v>144</v>
      </c>
      <c r="D266" s="166" t="s">
        <v>190</v>
      </c>
      <c r="E266" s="55" t="s">
        <v>533</v>
      </c>
      <c r="F266" s="82">
        <v>7.63</v>
      </c>
      <c r="G266" s="48">
        <f t="shared" si="18"/>
        <v>9.13</v>
      </c>
      <c r="H266" s="91">
        <v>23</v>
      </c>
      <c r="I266" s="57">
        <f t="shared" si="19"/>
        <v>209.99</v>
      </c>
      <c r="K266" s="464"/>
      <c r="L266" s="249"/>
      <c r="M266" s="51"/>
    </row>
    <row r="267" spans="1:13" ht="15.75">
      <c r="A267" s="53" t="s">
        <v>534</v>
      </c>
      <c r="B267" s="54" t="s">
        <v>535</v>
      </c>
      <c r="C267" s="166" t="s">
        <v>149</v>
      </c>
      <c r="D267" s="166">
        <v>7348</v>
      </c>
      <c r="E267" s="55" t="s">
        <v>868</v>
      </c>
      <c r="F267" s="82">
        <v>12.02</v>
      </c>
      <c r="G267" s="48">
        <f t="shared" si="18"/>
        <v>14.38</v>
      </c>
      <c r="H267" s="91">
        <v>10</v>
      </c>
      <c r="I267" s="57">
        <f t="shared" si="19"/>
        <v>143.8</v>
      </c>
      <c r="K267" s="464"/>
      <c r="L267" s="249"/>
      <c r="M267" s="51"/>
    </row>
    <row r="268" spans="1:13" ht="26.25">
      <c r="A268" s="46" t="s">
        <v>984</v>
      </c>
      <c r="B268" s="54" t="s">
        <v>536</v>
      </c>
      <c r="C268" s="166" t="s">
        <v>149</v>
      </c>
      <c r="D268" s="166">
        <v>7288</v>
      </c>
      <c r="E268" s="55" t="s">
        <v>868</v>
      </c>
      <c r="F268" s="82">
        <v>30.38</v>
      </c>
      <c r="G268" s="48">
        <f t="shared" si="18"/>
        <v>36.33</v>
      </c>
      <c r="H268" s="91">
        <v>3</v>
      </c>
      <c r="I268" s="57">
        <f t="shared" si="19"/>
        <v>108.99</v>
      </c>
      <c r="K268" s="464"/>
      <c r="L268" s="249"/>
      <c r="M268" s="51"/>
    </row>
    <row r="269" spans="1:13" ht="26.25">
      <c r="A269" s="46" t="s">
        <v>984</v>
      </c>
      <c r="B269" s="54" t="s">
        <v>535</v>
      </c>
      <c r="C269" s="166" t="s">
        <v>149</v>
      </c>
      <c r="D269" s="166">
        <v>7348</v>
      </c>
      <c r="E269" s="55" t="s">
        <v>868</v>
      </c>
      <c r="F269" s="82">
        <v>12.02</v>
      </c>
      <c r="G269" s="48">
        <f t="shared" si="18"/>
        <v>14.38</v>
      </c>
      <c r="H269" s="91">
        <v>3</v>
      </c>
      <c r="I269" s="57">
        <f t="shared" si="19"/>
        <v>43.14</v>
      </c>
      <c r="K269" s="464"/>
      <c r="L269" s="249"/>
      <c r="M269" s="51"/>
    </row>
    <row r="270" spans="1:13" ht="15.75">
      <c r="A270" s="53" t="s">
        <v>537</v>
      </c>
      <c r="B270" s="54" t="s">
        <v>538</v>
      </c>
      <c r="C270" s="166" t="s">
        <v>149</v>
      </c>
      <c r="D270" s="166">
        <v>7293</v>
      </c>
      <c r="E270" s="55" t="s">
        <v>868</v>
      </c>
      <c r="F270" s="82">
        <v>33.15</v>
      </c>
      <c r="G270" s="48">
        <f t="shared" si="18"/>
        <v>39.65</v>
      </c>
      <c r="H270" s="91">
        <v>3</v>
      </c>
      <c r="I270" s="57">
        <f t="shared" si="19"/>
        <v>118.95</v>
      </c>
      <c r="K270" s="464"/>
      <c r="L270" s="249"/>
      <c r="M270" s="51"/>
    </row>
    <row r="271" spans="1:13" ht="26.25">
      <c r="A271" s="46" t="s">
        <v>984</v>
      </c>
      <c r="B271" s="54" t="s">
        <v>536</v>
      </c>
      <c r="C271" s="166" t="s">
        <v>149</v>
      </c>
      <c r="D271" s="166">
        <v>7288</v>
      </c>
      <c r="E271" s="55" t="s">
        <v>868</v>
      </c>
      <c r="F271" s="82">
        <v>30.38</v>
      </c>
      <c r="G271" s="48">
        <f t="shared" si="18"/>
        <v>36.33</v>
      </c>
      <c r="H271" s="91">
        <v>3</v>
      </c>
      <c r="I271" s="57">
        <f t="shared" si="19"/>
        <v>108.99</v>
      </c>
      <c r="K271" s="464"/>
      <c r="L271" s="249"/>
      <c r="M271" s="51"/>
    </row>
    <row r="272" spans="1:13" ht="26.25">
      <c r="A272" s="46" t="s">
        <v>984</v>
      </c>
      <c r="B272" s="54" t="s">
        <v>116</v>
      </c>
      <c r="C272" s="166" t="s">
        <v>149</v>
      </c>
      <c r="D272" s="166">
        <v>7304</v>
      </c>
      <c r="E272" s="55" t="s">
        <v>868</v>
      </c>
      <c r="F272" s="82">
        <v>61.83</v>
      </c>
      <c r="G272" s="48">
        <f t="shared" si="18"/>
        <v>73.95</v>
      </c>
      <c r="H272" s="91">
        <v>3</v>
      </c>
      <c r="I272" s="57">
        <f>ROUND(G272*H272,2)</f>
        <v>221.85</v>
      </c>
      <c r="K272" s="464"/>
      <c r="L272" s="249"/>
      <c r="M272" s="51"/>
    </row>
    <row r="273" spans="1:13" ht="15.75">
      <c r="A273" s="53"/>
      <c r="B273" s="54" t="s">
        <v>539</v>
      </c>
      <c r="C273" s="166" t="s">
        <v>144</v>
      </c>
      <c r="D273" s="166" t="s">
        <v>191</v>
      </c>
      <c r="E273" s="55" t="s">
        <v>533</v>
      </c>
      <c r="F273" s="82">
        <v>3.08</v>
      </c>
      <c r="G273" s="48">
        <f t="shared" si="18"/>
        <v>3.68</v>
      </c>
      <c r="H273" s="91">
        <v>10</v>
      </c>
      <c r="I273" s="57">
        <f t="shared" si="19"/>
        <v>36.8</v>
      </c>
      <c r="K273" s="464"/>
      <c r="L273" s="249"/>
      <c r="M273" s="51"/>
    </row>
    <row r="274" spans="1:13" ht="15.75">
      <c r="A274" s="53"/>
      <c r="B274" s="54" t="s">
        <v>540</v>
      </c>
      <c r="C274" s="166" t="s">
        <v>144</v>
      </c>
      <c r="D274" s="166" t="s">
        <v>192</v>
      </c>
      <c r="E274" s="55" t="s">
        <v>530</v>
      </c>
      <c r="F274" s="82">
        <v>13.49</v>
      </c>
      <c r="G274" s="48">
        <f t="shared" si="18"/>
        <v>16.13</v>
      </c>
      <c r="H274" s="91">
        <v>3</v>
      </c>
      <c r="I274" s="57">
        <f t="shared" si="19"/>
        <v>48.39</v>
      </c>
      <c r="K274" s="464"/>
      <c r="L274" s="249"/>
      <c r="M274" s="51"/>
    </row>
    <row r="275" spans="1:13" ht="26.25">
      <c r="A275" s="53" t="s">
        <v>445</v>
      </c>
      <c r="B275" s="54" t="s">
        <v>541</v>
      </c>
      <c r="C275" s="166" t="s">
        <v>144</v>
      </c>
      <c r="D275" s="166" t="s">
        <v>864</v>
      </c>
      <c r="E275" s="55" t="s">
        <v>533</v>
      </c>
      <c r="F275" s="82">
        <v>2.92</v>
      </c>
      <c r="G275" s="48">
        <f t="shared" si="18"/>
        <v>3.49</v>
      </c>
      <c r="H275" s="91">
        <v>3</v>
      </c>
      <c r="I275" s="57">
        <f t="shared" si="19"/>
        <v>10.47</v>
      </c>
      <c r="K275" s="464"/>
      <c r="L275" s="249"/>
      <c r="M275" s="51"/>
    </row>
    <row r="276" spans="1:13" ht="15.75">
      <c r="A276" s="53" t="s">
        <v>445</v>
      </c>
      <c r="B276" s="54" t="s">
        <v>542</v>
      </c>
      <c r="C276" s="166" t="s">
        <v>144</v>
      </c>
      <c r="D276" s="166" t="s">
        <v>863</v>
      </c>
      <c r="E276" s="55" t="s">
        <v>533</v>
      </c>
      <c r="F276" s="82">
        <v>4.78</v>
      </c>
      <c r="G276" s="48">
        <f t="shared" si="18"/>
        <v>5.72</v>
      </c>
      <c r="H276" s="91">
        <v>1</v>
      </c>
      <c r="I276" s="57">
        <f t="shared" si="19"/>
        <v>5.72</v>
      </c>
      <c r="K276" s="464"/>
      <c r="L276" s="249"/>
      <c r="M276" s="51"/>
    </row>
    <row r="277" spans="1:13" ht="15.75">
      <c r="A277" s="53"/>
      <c r="B277" s="248" t="s">
        <v>111</v>
      </c>
      <c r="C277" s="166" t="s">
        <v>149</v>
      </c>
      <c r="D277" s="166">
        <v>34353</v>
      </c>
      <c r="E277" s="55" t="s">
        <v>870</v>
      </c>
      <c r="F277" s="82">
        <v>1.49</v>
      </c>
      <c r="G277" s="48">
        <f t="shared" si="18"/>
        <v>1.78</v>
      </c>
      <c r="H277" s="91">
        <v>5</v>
      </c>
      <c r="I277" s="57">
        <f>ROUND(G277*H277,2)</f>
        <v>8.9</v>
      </c>
      <c r="K277" s="464"/>
      <c r="L277" s="249"/>
      <c r="M277" s="51"/>
    </row>
    <row r="278" spans="1:13" ht="25.5">
      <c r="A278" s="53"/>
      <c r="B278" s="248" t="s">
        <v>112</v>
      </c>
      <c r="C278" s="166" t="s">
        <v>149</v>
      </c>
      <c r="D278" s="166">
        <v>37595</v>
      </c>
      <c r="E278" s="55" t="s">
        <v>870</v>
      </c>
      <c r="F278" s="82">
        <v>2.46</v>
      </c>
      <c r="G278" s="48">
        <f t="shared" si="18"/>
        <v>2.94</v>
      </c>
      <c r="H278" s="91">
        <v>5</v>
      </c>
      <c r="I278" s="57">
        <f>ROUND(G278*H278,2)</f>
        <v>14.7</v>
      </c>
      <c r="K278" s="464"/>
      <c r="L278" s="249"/>
      <c r="M278" s="51"/>
    </row>
    <row r="279" spans="1:13" ht="15.75">
      <c r="A279" s="53" t="s">
        <v>445</v>
      </c>
      <c r="B279" s="54" t="s">
        <v>543</v>
      </c>
      <c r="C279" s="166" t="s">
        <v>149</v>
      </c>
      <c r="D279" s="166">
        <v>1379</v>
      </c>
      <c r="E279" s="55" t="s">
        <v>870</v>
      </c>
      <c r="F279" s="82">
        <v>0.59</v>
      </c>
      <c r="G279" s="48">
        <f t="shared" si="18"/>
        <v>0.71</v>
      </c>
      <c r="H279" s="91">
        <v>25</v>
      </c>
      <c r="I279" s="57">
        <f t="shared" si="19"/>
        <v>17.75</v>
      </c>
      <c r="K279" s="464"/>
      <c r="L279" s="249"/>
      <c r="M279" s="51"/>
    </row>
    <row r="280" spans="1:13" ht="15.75">
      <c r="A280" s="53"/>
      <c r="B280" s="54" t="s">
        <v>208</v>
      </c>
      <c r="C280" s="166" t="s">
        <v>149</v>
      </c>
      <c r="D280" s="166">
        <v>1380</v>
      </c>
      <c r="E280" s="55" t="s">
        <v>870</v>
      </c>
      <c r="F280" s="82">
        <v>1.85</v>
      </c>
      <c r="G280" s="48">
        <f t="shared" si="18"/>
        <v>2.21</v>
      </c>
      <c r="H280" s="91">
        <v>10</v>
      </c>
      <c r="I280" s="57">
        <f>ROUND(G280*H280,2)</f>
        <v>22.1</v>
      </c>
      <c r="K280" s="464"/>
      <c r="L280" s="249"/>
      <c r="M280" s="51"/>
    </row>
    <row r="281" spans="1:13" ht="26.25">
      <c r="A281" s="53"/>
      <c r="B281" s="54" t="s">
        <v>875</v>
      </c>
      <c r="C281" s="166" t="s">
        <v>149</v>
      </c>
      <c r="D281" s="166">
        <v>34357</v>
      </c>
      <c r="E281" s="55" t="s">
        <v>870</v>
      </c>
      <c r="F281" s="82">
        <v>4.69</v>
      </c>
      <c r="G281" s="48">
        <f t="shared" si="18"/>
        <v>5.61</v>
      </c>
      <c r="H281" s="91">
        <v>3</v>
      </c>
      <c r="I281" s="57">
        <f>ROUND(G281*H281,2)</f>
        <v>16.83</v>
      </c>
      <c r="K281" s="464"/>
      <c r="L281" s="249"/>
      <c r="M281" s="51"/>
    </row>
    <row r="282" spans="1:13" ht="15.75">
      <c r="A282" s="53" t="s">
        <v>445</v>
      </c>
      <c r="B282" s="54" t="s">
        <v>544</v>
      </c>
      <c r="C282" s="166" t="s">
        <v>149</v>
      </c>
      <c r="D282" s="166">
        <v>3315</v>
      </c>
      <c r="E282" s="55" t="s">
        <v>870</v>
      </c>
      <c r="F282" s="82">
        <v>0.99</v>
      </c>
      <c r="G282" s="48">
        <f t="shared" si="18"/>
        <v>1.18</v>
      </c>
      <c r="H282" s="91">
        <v>5</v>
      </c>
      <c r="I282" s="57">
        <f t="shared" si="19"/>
        <v>5.9</v>
      </c>
      <c r="K282" s="464"/>
      <c r="L282" s="249"/>
      <c r="M282" s="51"/>
    </row>
    <row r="283" spans="1:13" ht="51.75">
      <c r="A283" s="53" t="s">
        <v>42</v>
      </c>
      <c r="B283" s="54" t="s">
        <v>209</v>
      </c>
      <c r="C283" s="166" t="s">
        <v>149</v>
      </c>
      <c r="D283" s="166">
        <v>140</v>
      </c>
      <c r="E283" s="55" t="s">
        <v>870</v>
      </c>
      <c r="F283" s="82">
        <v>17.19</v>
      </c>
      <c r="G283" s="48">
        <f t="shared" si="18"/>
        <v>20.56</v>
      </c>
      <c r="H283" s="91">
        <v>5</v>
      </c>
      <c r="I283" s="57">
        <f t="shared" si="19"/>
        <v>102.8</v>
      </c>
      <c r="K283" s="464"/>
      <c r="L283" s="249"/>
      <c r="M283" s="51"/>
    </row>
    <row r="284" spans="1:13" ht="39">
      <c r="A284" s="53" t="s">
        <v>28</v>
      </c>
      <c r="B284" s="54" t="s">
        <v>113</v>
      </c>
      <c r="C284" s="166" t="s">
        <v>149</v>
      </c>
      <c r="D284" s="166">
        <v>131</v>
      </c>
      <c r="E284" s="55" t="s">
        <v>870</v>
      </c>
      <c r="F284" s="82">
        <v>41.45</v>
      </c>
      <c r="G284" s="48">
        <f t="shared" si="18"/>
        <v>49.57</v>
      </c>
      <c r="H284" s="91">
        <v>5</v>
      </c>
      <c r="I284" s="57">
        <f>ROUND(G284*H284,2)</f>
        <v>247.85</v>
      </c>
      <c r="K284" s="464"/>
      <c r="L284" s="249"/>
      <c r="M284" s="51"/>
    </row>
    <row r="285" spans="1:13" ht="77.25">
      <c r="A285" s="53"/>
      <c r="B285" s="54" t="s">
        <v>114</v>
      </c>
      <c r="C285" s="166" t="s">
        <v>149</v>
      </c>
      <c r="D285" s="166">
        <v>123</v>
      </c>
      <c r="E285" s="55" t="s">
        <v>868</v>
      </c>
      <c r="F285" s="82">
        <v>6.54</v>
      </c>
      <c r="G285" s="48">
        <f t="shared" si="18"/>
        <v>7.82</v>
      </c>
      <c r="H285" s="91">
        <v>5</v>
      </c>
      <c r="I285" s="57">
        <f>ROUND(G285*H285,2)</f>
        <v>39.1</v>
      </c>
      <c r="K285" s="464"/>
      <c r="L285" s="249"/>
      <c r="M285" s="51"/>
    </row>
    <row r="286" spans="1:13" ht="51.75">
      <c r="A286" s="53" t="s">
        <v>27</v>
      </c>
      <c r="B286" s="54" t="s">
        <v>115</v>
      </c>
      <c r="C286" s="166" t="s">
        <v>149</v>
      </c>
      <c r="D286" s="166">
        <v>7334</v>
      </c>
      <c r="E286" s="55" t="s">
        <v>868</v>
      </c>
      <c r="F286" s="82">
        <v>15.68</v>
      </c>
      <c r="G286" s="48">
        <f t="shared" si="18"/>
        <v>18.75</v>
      </c>
      <c r="H286" s="91">
        <v>5</v>
      </c>
      <c r="I286" s="57">
        <f>ROUND(G286*H286,2)</f>
        <v>93.75</v>
      </c>
      <c r="K286" s="464"/>
      <c r="L286" s="249"/>
      <c r="M286" s="51"/>
    </row>
    <row r="287" spans="1:13" ht="77.25">
      <c r="A287" s="53" t="s">
        <v>445</v>
      </c>
      <c r="B287" s="54" t="s">
        <v>210</v>
      </c>
      <c r="C287" s="166" t="s">
        <v>149</v>
      </c>
      <c r="D287" s="166">
        <v>7219</v>
      </c>
      <c r="E287" s="55" t="s">
        <v>867</v>
      </c>
      <c r="F287" s="82">
        <v>70.21</v>
      </c>
      <c r="G287" s="48">
        <f t="shared" si="18"/>
        <v>83.97</v>
      </c>
      <c r="H287" s="91">
        <v>1</v>
      </c>
      <c r="I287" s="57">
        <f t="shared" si="19"/>
        <v>83.97</v>
      </c>
      <c r="K287" s="464"/>
      <c r="L287" s="249"/>
      <c r="M287" s="51"/>
    </row>
    <row r="288" spans="1:13" ht="39">
      <c r="A288" s="53" t="s">
        <v>445</v>
      </c>
      <c r="B288" s="54" t="s">
        <v>717</v>
      </c>
      <c r="C288" s="166" t="s">
        <v>149</v>
      </c>
      <c r="D288" s="166">
        <v>7193</v>
      </c>
      <c r="E288" s="55" t="s">
        <v>867</v>
      </c>
      <c r="F288" s="82">
        <v>141.33</v>
      </c>
      <c r="G288" s="48">
        <f t="shared" si="18"/>
        <v>169.03</v>
      </c>
      <c r="H288" s="91">
        <v>1</v>
      </c>
      <c r="I288" s="57">
        <f t="shared" si="19"/>
        <v>169.03</v>
      </c>
      <c r="K288" s="464"/>
      <c r="L288" s="249"/>
      <c r="M288" s="51"/>
    </row>
    <row r="289" spans="1:13" ht="51.75">
      <c r="A289" s="53" t="s">
        <v>445</v>
      </c>
      <c r="B289" s="54" t="s">
        <v>211</v>
      </c>
      <c r="C289" s="166" t="s">
        <v>149</v>
      </c>
      <c r="D289" s="166">
        <v>7189</v>
      </c>
      <c r="E289" s="55" t="s">
        <v>867</v>
      </c>
      <c r="F289" s="82">
        <v>164.24</v>
      </c>
      <c r="G289" s="48">
        <f t="shared" si="18"/>
        <v>196.43</v>
      </c>
      <c r="H289" s="91">
        <v>1</v>
      </c>
      <c r="I289" s="57">
        <f t="shared" si="19"/>
        <v>196.43</v>
      </c>
      <c r="K289" s="464"/>
      <c r="L289" s="249"/>
      <c r="M289" s="51"/>
    </row>
    <row r="290" spans="1:13" ht="26.25">
      <c r="A290" s="53"/>
      <c r="B290" s="54" t="s">
        <v>858</v>
      </c>
      <c r="C290" s="166" t="s">
        <v>144</v>
      </c>
      <c r="D290" s="166" t="s">
        <v>857</v>
      </c>
      <c r="E290" s="55" t="s">
        <v>867</v>
      </c>
      <c r="F290" s="82">
        <v>0.71</v>
      </c>
      <c r="G290" s="48">
        <f t="shared" si="18"/>
        <v>0.85</v>
      </c>
      <c r="H290" s="91">
        <v>1</v>
      </c>
      <c r="I290" s="57">
        <f>ROUND(G290*H290,2)</f>
        <v>0.85</v>
      </c>
      <c r="K290" s="464"/>
      <c r="L290" s="249"/>
      <c r="M290" s="51"/>
    </row>
    <row r="291" spans="1:13" ht="39">
      <c r="A291" s="53"/>
      <c r="B291" s="54" t="s">
        <v>852</v>
      </c>
      <c r="C291" s="166" t="s">
        <v>144</v>
      </c>
      <c r="D291" s="166" t="s">
        <v>851</v>
      </c>
      <c r="E291" s="55" t="s">
        <v>889</v>
      </c>
      <c r="F291" s="82">
        <v>33.33</v>
      </c>
      <c r="G291" s="48">
        <f t="shared" si="18"/>
        <v>39.86</v>
      </c>
      <c r="H291" s="91">
        <v>1</v>
      </c>
      <c r="I291" s="57">
        <f>ROUND(G291*H291,2)</f>
        <v>39.86</v>
      </c>
      <c r="K291" s="464"/>
      <c r="L291" s="249"/>
      <c r="M291" s="51"/>
    </row>
    <row r="292" spans="1:13" ht="64.5">
      <c r="A292" s="53"/>
      <c r="B292" s="54" t="s">
        <v>854</v>
      </c>
      <c r="C292" s="166" t="s">
        <v>144</v>
      </c>
      <c r="D292" s="166" t="s">
        <v>853</v>
      </c>
      <c r="E292" s="55" t="s">
        <v>891</v>
      </c>
      <c r="F292" s="82">
        <v>34.18</v>
      </c>
      <c r="G292" s="48">
        <f t="shared" si="18"/>
        <v>40.88</v>
      </c>
      <c r="H292" s="91">
        <v>1</v>
      </c>
      <c r="I292" s="57">
        <f>ROUND(G292*H292,2)</f>
        <v>40.88</v>
      </c>
      <c r="K292" s="464"/>
      <c r="L292" s="249"/>
      <c r="M292" s="51"/>
    </row>
    <row r="293" spans="1:13" ht="64.5">
      <c r="A293" s="53"/>
      <c r="B293" s="54" t="s">
        <v>856</v>
      </c>
      <c r="C293" s="166" t="s">
        <v>144</v>
      </c>
      <c r="D293" s="166" t="s">
        <v>855</v>
      </c>
      <c r="E293" s="55" t="s">
        <v>892</v>
      </c>
      <c r="F293" s="82">
        <v>43.44</v>
      </c>
      <c r="G293" s="48">
        <f t="shared" si="18"/>
        <v>51.95</v>
      </c>
      <c r="H293" s="91">
        <v>1</v>
      </c>
      <c r="I293" s="57">
        <f>ROUND(G293*H293,2)</f>
        <v>51.95</v>
      </c>
      <c r="K293" s="464"/>
      <c r="L293" s="249"/>
      <c r="M293" s="51"/>
    </row>
    <row r="294" spans="1:13" ht="51.75">
      <c r="A294" s="53" t="s">
        <v>445</v>
      </c>
      <c r="B294" s="54" t="s">
        <v>546</v>
      </c>
      <c r="C294" s="166" t="s">
        <v>144</v>
      </c>
      <c r="D294" s="166" t="s">
        <v>193</v>
      </c>
      <c r="E294" s="55" t="s">
        <v>545</v>
      </c>
      <c r="F294" s="82">
        <v>24.32</v>
      </c>
      <c r="G294" s="48">
        <f t="shared" si="18"/>
        <v>29.09</v>
      </c>
      <c r="H294" s="91">
        <v>1</v>
      </c>
      <c r="I294" s="57">
        <f t="shared" si="19"/>
        <v>29.09</v>
      </c>
      <c r="K294" s="464"/>
      <c r="L294" s="249"/>
      <c r="M294" s="51"/>
    </row>
    <row r="295" spans="1:13" ht="39">
      <c r="A295" s="53" t="s">
        <v>445</v>
      </c>
      <c r="B295" s="54" t="s">
        <v>547</v>
      </c>
      <c r="C295" s="166" t="s">
        <v>149</v>
      </c>
      <c r="D295" s="166">
        <v>36225</v>
      </c>
      <c r="E295" s="55" t="s">
        <v>866</v>
      </c>
      <c r="F295" s="82">
        <v>29.921875</v>
      </c>
      <c r="G295" s="48">
        <f t="shared" si="18"/>
        <v>35.79</v>
      </c>
      <c r="H295" s="91">
        <v>5</v>
      </c>
      <c r="I295" s="57">
        <f t="shared" si="19"/>
        <v>178.95</v>
      </c>
      <c r="K295" s="464"/>
      <c r="L295" s="249"/>
      <c r="M295" s="51"/>
    </row>
    <row r="296" spans="1:13" ht="39">
      <c r="A296" s="92" t="s">
        <v>445</v>
      </c>
      <c r="B296" s="60" t="s">
        <v>548</v>
      </c>
      <c r="C296" s="168" t="s">
        <v>149</v>
      </c>
      <c r="D296" s="168">
        <v>3275</v>
      </c>
      <c r="E296" s="55" t="s">
        <v>866</v>
      </c>
      <c r="F296" s="82">
        <v>107.421875</v>
      </c>
      <c r="G296" s="48">
        <f t="shared" si="18"/>
        <v>128.48</v>
      </c>
      <c r="H296" s="93">
        <v>5</v>
      </c>
      <c r="I296" s="63">
        <f>ROUND(G296*H296,2)</f>
        <v>642.4</v>
      </c>
      <c r="K296" s="464"/>
      <c r="L296" s="249"/>
      <c r="M296" s="51"/>
    </row>
    <row r="297" spans="1:13" ht="26.25">
      <c r="A297" s="92"/>
      <c r="B297" s="60" t="s">
        <v>814</v>
      </c>
      <c r="C297" s="166" t="s">
        <v>144</v>
      </c>
      <c r="D297" s="168" t="s">
        <v>813</v>
      </c>
      <c r="E297" s="55" t="s">
        <v>867</v>
      </c>
      <c r="F297" s="82">
        <v>107.87</v>
      </c>
      <c r="G297" s="48">
        <f t="shared" si="18"/>
        <v>129.01</v>
      </c>
      <c r="H297" s="91">
        <v>1</v>
      </c>
      <c r="I297" s="57">
        <f aca="true" t="shared" si="20" ref="I297:I303">ROUND(G297*H297,2)</f>
        <v>129.01</v>
      </c>
      <c r="K297" s="464"/>
      <c r="L297" s="249"/>
      <c r="M297" s="51"/>
    </row>
    <row r="298" spans="1:13" ht="26.25">
      <c r="A298" s="92"/>
      <c r="B298" s="60" t="s">
        <v>816</v>
      </c>
      <c r="C298" s="166" t="s">
        <v>144</v>
      </c>
      <c r="D298" s="168" t="s">
        <v>815</v>
      </c>
      <c r="E298" s="55" t="s">
        <v>867</v>
      </c>
      <c r="F298" s="82">
        <v>52.5</v>
      </c>
      <c r="G298" s="48">
        <f t="shared" si="18"/>
        <v>62.79</v>
      </c>
      <c r="H298" s="91">
        <v>1</v>
      </c>
      <c r="I298" s="57">
        <f t="shared" si="20"/>
        <v>62.79</v>
      </c>
      <c r="K298" s="464"/>
      <c r="L298" s="249"/>
      <c r="M298" s="51"/>
    </row>
    <row r="299" spans="1:13" ht="26.25">
      <c r="A299" s="92"/>
      <c r="B299" s="60" t="s">
        <v>818</v>
      </c>
      <c r="C299" s="166" t="s">
        <v>144</v>
      </c>
      <c r="D299" s="168" t="s">
        <v>817</v>
      </c>
      <c r="E299" s="55" t="s">
        <v>867</v>
      </c>
      <c r="F299" s="82">
        <v>46</v>
      </c>
      <c r="G299" s="48">
        <f t="shared" si="18"/>
        <v>55.02</v>
      </c>
      <c r="H299" s="91">
        <v>1</v>
      </c>
      <c r="I299" s="57">
        <f t="shared" si="20"/>
        <v>55.02</v>
      </c>
      <c r="K299" s="464"/>
      <c r="L299" s="249"/>
      <c r="M299" s="51"/>
    </row>
    <row r="300" spans="1:13" ht="15.75">
      <c r="A300" s="92"/>
      <c r="B300" s="60" t="s">
        <v>820</v>
      </c>
      <c r="C300" s="166" t="s">
        <v>144</v>
      </c>
      <c r="D300" s="168" t="s">
        <v>819</v>
      </c>
      <c r="E300" s="55" t="s">
        <v>867</v>
      </c>
      <c r="F300" s="82">
        <v>41.64</v>
      </c>
      <c r="G300" s="48">
        <f t="shared" si="18"/>
        <v>49.8</v>
      </c>
      <c r="H300" s="91">
        <v>1</v>
      </c>
      <c r="I300" s="57">
        <f t="shared" si="20"/>
        <v>49.8</v>
      </c>
      <c r="K300" s="464"/>
      <c r="L300" s="249"/>
      <c r="M300" s="51"/>
    </row>
    <row r="301" spans="1:13" ht="39">
      <c r="A301" s="92"/>
      <c r="B301" s="60" t="s">
        <v>822</v>
      </c>
      <c r="C301" s="166" t="s">
        <v>144</v>
      </c>
      <c r="D301" s="168" t="s">
        <v>821</v>
      </c>
      <c r="E301" s="55" t="s">
        <v>867</v>
      </c>
      <c r="F301" s="82">
        <v>34.34</v>
      </c>
      <c r="G301" s="48">
        <f t="shared" si="18"/>
        <v>41.07</v>
      </c>
      <c r="H301" s="91">
        <v>1</v>
      </c>
      <c r="I301" s="57">
        <f t="shared" si="20"/>
        <v>41.07</v>
      </c>
      <c r="K301" s="464"/>
      <c r="L301" s="249"/>
      <c r="M301" s="51"/>
    </row>
    <row r="302" spans="1:13" ht="15.75">
      <c r="A302" s="92"/>
      <c r="B302" s="60" t="s">
        <v>824</v>
      </c>
      <c r="C302" s="166" t="s">
        <v>144</v>
      </c>
      <c r="D302" s="168" t="s">
        <v>823</v>
      </c>
      <c r="E302" s="55" t="s">
        <v>867</v>
      </c>
      <c r="F302" s="82">
        <v>9.47</v>
      </c>
      <c r="G302" s="48">
        <f t="shared" si="18"/>
        <v>11.33</v>
      </c>
      <c r="H302" s="91">
        <v>1</v>
      </c>
      <c r="I302" s="57">
        <f t="shared" si="20"/>
        <v>11.33</v>
      </c>
      <c r="K302" s="464"/>
      <c r="L302" s="249"/>
      <c r="M302" s="51"/>
    </row>
    <row r="303" spans="1:13" ht="39">
      <c r="A303" s="92"/>
      <c r="B303" s="60" t="s">
        <v>826</v>
      </c>
      <c r="C303" s="166" t="s">
        <v>144</v>
      </c>
      <c r="D303" s="168" t="s">
        <v>825</v>
      </c>
      <c r="E303" s="55" t="s">
        <v>867</v>
      </c>
      <c r="F303" s="82">
        <v>64.2</v>
      </c>
      <c r="G303" s="48">
        <f t="shared" si="18"/>
        <v>76.78</v>
      </c>
      <c r="H303" s="91">
        <v>1</v>
      </c>
      <c r="I303" s="57">
        <f t="shared" si="20"/>
        <v>76.78</v>
      </c>
      <c r="K303" s="464"/>
      <c r="L303" s="249"/>
      <c r="M303" s="51"/>
    </row>
    <row r="304" spans="1:13" ht="26.25">
      <c r="A304" s="92"/>
      <c r="B304" s="60" t="s">
        <v>846</v>
      </c>
      <c r="C304" s="166" t="s">
        <v>144</v>
      </c>
      <c r="D304" s="166" t="s">
        <v>845</v>
      </c>
      <c r="E304" s="55" t="s">
        <v>890</v>
      </c>
      <c r="F304" s="82">
        <v>130.11</v>
      </c>
      <c r="G304" s="48">
        <f t="shared" si="18"/>
        <v>155.61</v>
      </c>
      <c r="H304" s="91">
        <v>1</v>
      </c>
      <c r="I304" s="57">
        <f>ROUND(G304*H304,2)</f>
        <v>155.61</v>
      </c>
      <c r="K304" s="464"/>
      <c r="L304" s="249"/>
      <c r="M304" s="51"/>
    </row>
    <row r="305" spans="1:13" ht="26.25">
      <c r="A305" s="92"/>
      <c r="B305" s="60" t="s">
        <v>848</v>
      </c>
      <c r="C305" s="166" t="s">
        <v>144</v>
      </c>
      <c r="D305" s="166" t="s">
        <v>847</v>
      </c>
      <c r="E305" s="55" t="s">
        <v>890</v>
      </c>
      <c r="F305" s="82">
        <v>198.63</v>
      </c>
      <c r="G305" s="48">
        <f t="shared" si="18"/>
        <v>237.56</v>
      </c>
      <c r="H305" s="91">
        <v>1</v>
      </c>
      <c r="I305" s="57">
        <f>ROUND(G305*H305,2)</f>
        <v>237.56</v>
      </c>
      <c r="K305" s="464"/>
      <c r="L305" s="249"/>
      <c r="M305" s="51"/>
    </row>
    <row r="306" spans="1:13" ht="39.75" thickBot="1">
      <c r="A306" s="92" t="s">
        <v>445</v>
      </c>
      <c r="B306" s="60" t="s">
        <v>871</v>
      </c>
      <c r="C306" s="168" t="s">
        <v>149</v>
      </c>
      <c r="D306" s="168">
        <v>10422</v>
      </c>
      <c r="E306" s="55" t="s">
        <v>356</v>
      </c>
      <c r="F306" s="82">
        <v>347.67</v>
      </c>
      <c r="G306" s="48">
        <f t="shared" si="18"/>
        <v>415.81</v>
      </c>
      <c r="H306" s="93">
        <v>1</v>
      </c>
      <c r="I306" s="63">
        <f t="shared" si="19"/>
        <v>415.81</v>
      </c>
      <c r="K306" s="464"/>
      <c r="L306" s="249"/>
      <c r="M306" s="51"/>
    </row>
    <row r="307" spans="1:11" ht="21.75" customHeight="1" thickBot="1">
      <c r="A307" s="705" t="s">
        <v>549</v>
      </c>
      <c r="B307" s="705"/>
      <c r="C307" s="160"/>
      <c r="D307" s="160"/>
      <c r="E307" s="86"/>
      <c r="F307" s="387"/>
      <c r="G307" s="86"/>
      <c r="H307" s="86"/>
      <c r="I307" s="94">
        <f>SUM(I264:I306)</f>
        <v>5595.74</v>
      </c>
      <c r="K307" s="464"/>
    </row>
    <row r="308" spans="1:12" ht="24" customHeight="1" thickBot="1">
      <c r="A308" s="706" t="s">
        <v>550</v>
      </c>
      <c r="B308" s="706"/>
      <c r="C308" s="162"/>
      <c r="D308" s="162"/>
      <c r="E308" s="86"/>
      <c r="F308" s="387"/>
      <c r="G308" s="86"/>
      <c r="H308" s="86"/>
      <c r="I308" s="87">
        <f>I307*12</f>
        <v>67148.88</v>
      </c>
      <c r="K308" s="464"/>
      <c r="L308" s="449"/>
    </row>
    <row r="309" spans="11:12" ht="12.75">
      <c r="K309" s="250"/>
      <c r="L309" s="250"/>
    </row>
    <row r="310" spans="10:12" ht="12.75">
      <c r="J310" s="252"/>
      <c r="K310" s="250"/>
      <c r="L310" s="250"/>
    </row>
    <row r="312" ht="16.5" thickBot="1"/>
    <row r="313" spans="1:7" ht="15.75">
      <c r="A313" s="25" t="s">
        <v>340</v>
      </c>
      <c r="B313" s="26"/>
      <c r="C313" s="171"/>
      <c r="D313" s="171"/>
      <c r="E313" s="26"/>
      <c r="F313" s="389"/>
      <c r="G313" s="27"/>
    </row>
    <row r="314" spans="1:7" ht="15.75">
      <c r="A314" s="708" t="s">
        <v>649</v>
      </c>
      <c r="B314" s="708"/>
      <c r="C314" s="708"/>
      <c r="D314" s="708"/>
      <c r="E314" s="708"/>
      <c r="F314" s="708"/>
      <c r="G314" s="95">
        <f>'A2) BDI'!D26</f>
        <v>0.08199878150000006</v>
      </c>
    </row>
    <row r="315" spans="1:7" ht="15.75">
      <c r="A315" s="708" t="s">
        <v>342</v>
      </c>
      <c r="B315" s="708"/>
      <c r="C315" s="708"/>
      <c r="D315" s="708"/>
      <c r="E315" s="708"/>
      <c r="F315" s="708"/>
      <c r="G315" s="96">
        <f>'A2) BDI'!D31</f>
        <v>0.065</v>
      </c>
    </row>
    <row r="316" spans="1:7" ht="15.75">
      <c r="A316" s="709" t="s">
        <v>343</v>
      </c>
      <c r="B316" s="709"/>
      <c r="C316" s="709"/>
      <c r="D316" s="709"/>
      <c r="E316" s="709"/>
      <c r="F316" s="709"/>
      <c r="G316" s="28">
        <f>SUM(G317:G319)</f>
        <v>0.0365</v>
      </c>
    </row>
    <row r="317" spans="1:7" ht="15.75">
      <c r="A317" s="710" t="s">
        <v>23</v>
      </c>
      <c r="B317" s="710"/>
      <c r="C317" s="710"/>
      <c r="D317" s="710"/>
      <c r="E317" s="710"/>
      <c r="F317" s="710"/>
      <c r="G317" s="29">
        <f>'A2) BDI'!D34</f>
        <v>0</v>
      </c>
    </row>
    <row r="318" spans="1:7" ht="15.75">
      <c r="A318" s="710" t="s">
        <v>317</v>
      </c>
      <c r="B318" s="710"/>
      <c r="C318" s="710"/>
      <c r="D318" s="710"/>
      <c r="E318" s="710"/>
      <c r="F318" s="710"/>
      <c r="G318" s="29">
        <f>'A2) BDI'!D32</f>
        <v>0.0065</v>
      </c>
    </row>
    <row r="319" spans="1:7" ht="15.75">
      <c r="A319" s="710" t="s">
        <v>319</v>
      </c>
      <c r="B319" s="710"/>
      <c r="C319" s="710"/>
      <c r="D319" s="710"/>
      <c r="E319" s="710"/>
      <c r="F319" s="710"/>
      <c r="G319" s="29">
        <f>'A2) BDI'!D33</f>
        <v>0.03</v>
      </c>
    </row>
    <row r="320" spans="1:7" ht="15.75">
      <c r="A320" s="707" t="s">
        <v>344</v>
      </c>
      <c r="B320" s="707"/>
      <c r="C320" s="707"/>
      <c r="D320" s="707"/>
      <c r="E320" s="707"/>
      <c r="F320" s="707"/>
      <c r="G320" s="31">
        <f>ROUND(((1+G314)*(1+G315)/(1-G316)-1),4)</f>
        <v>0.196</v>
      </c>
    </row>
  </sheetData>
  <sheetProtection selectLockedCells="1" selectUnlockedCells="1"/>
  <autoFilter ref="A263:I308"/>
  <mergeCells count="18">
    <mergeCell ref="A262:I262"/>
    <mergeCell ref="A259:B259"/>
    <mergeCell ref="A260:B260"/>
    <mergeCell ref="A1:I1"/>
    <mergeCell ref="A4:I4"/>
    <mergeCell ref="A6:I6"/>
    <mergeCell ref="A149:B149"/>
    <mergeCell ref="A150:B150"/>
    <mergeCell ref="A152:I152"/>
    <mergeCell ref="A307:B307"/>
    <mergeCell ref="A308:B308"/>
    <mergeCell ref="A320:F320"/>
    <mergeCell ref="A315:F315"/>
    <mergeCell ref="A316:F316"/>
    <mergeCell ref="A318:F318"/>
    <mergeCell ref="A319:F319"/>
    <mergeCell ref="A317:F317"/>
    <mergeCell ref="A314:F314"/>
  </mergeCells>
  <printOptions/>
  <pageMargins left="0.2362204724409449" right="0.2362204724409449" top="0.7480314960629921" bottom="0.7480314960629921" header="0.31496062992125984" footer="0.31496062992125984"/>
  <pageSetup fitToHeight="1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Luiz Firmino Gonzaga</dc:creator>
  <cp:keywords/>
  <dc:description/>
  <cp:lastModifiedBy>Usuário do Windows</cp:lastModifiedBy>
  <cp:lastPrinted>2022-03-31T18:56:57Z</cp:lastPrinted>
  <dcterms:created xsi:type="dcterms:W3CDTF">2016-10-20T12:24:56Z</dcterms:created>
  <dcterms:modified xsi:type="dcterms:W3CDTF">2022-04-20T16:22:11Z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