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OUTUBRO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<sst xmlns="http://schemas.openxmlformats.org/spreadsheetml/2006/main" count="124" uniqueCount="90">
  <si>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Execução da Despesa – NATUREZA DA DESPESA</t>
  </si>
  <si>
    <t>(Exercício Financeiro 2011 - OUTUBRO)</t>
  </si>
  <si>
    <t>DIVISÃO DE CONTABILIDADE  -  DICON</t>
  </si>
  <si>
    <t xml:space="preserve">                      Unidade Gestora: 080004 / TRT - 7ª Região                      </t>
  </si>
  <si>
    <t>Natureza da Despesa</t>
  </si>
  <si>
    <t xml:space="preserve">Empenho </t>
  </si>
  <si>
    <t xml:space="preserve">Liquidação    </t>
  </si>
  <si>
    <t xml:space="preserve">Valores Pagos   </t>
  </si>
  <si>
    <t>PTRES 000475</t>
  </si>
  <si>
    <t xml:space="preserve">Implantação Sistema </t>
  </si>
  <si>
    <t>Material Permanente</t>
  </si>
  <si>
    <t>Integrado Gestão</t>
  </si>
  <si>
    <t>PTRES 000508</t>
  </si>
  <si>
    <t>Contrib. União</t>
  </si>
  <si>
    <t>Obrig. patronais - op. Intra orçam</t>
  </si>
  <si>
    <t>Reg. Servidor PubIico</t>
  </si>
  <si>
    <t>Despesas Exercícios Anteriores</t>
  </si>
  <si>
    <t>Subtotal</t>
  </si>
  <si>
    <t>PTRES 000509</t>
  </si>
  <si>
    <t xml:space="preserve">Apreciação de </t>
  </si>
  <si>
    <t>Outros beneficios assistenciais</t>
  </si>
  <si>
    <t>Causas - Pessoal</t>
  </si>
  <si>
    <t>Vantagens e vencimentos - p. civil</t>
  </si>
  <si>
    <t>Obrigações patronais</t>
  </si>
  <si>
    <t>Outras desp. variaveis - pessoal civil</t>
  </si>
  <si>
    <t>Despesas exercícios anteriores</t>
  </si>
  <si>
    <t>Obrigações patronais - Op Intra Orçam.</t>
  </si>
  <si>
    <t>PTRES 000510</t>
  </si>
  <si>
    <t>Auxilio Alimentação</t>
  </si>
  <si>
    <t>Auxilio alimentação</t>
  </si>
  <si>
    <t>PTRES 000511</t>
  </si>
  <si>
    <t>Auxilio Transporte</t>
  </si>
  <si>
    <t>Auxilio Transporte a Servidores</t>
  </si>
  <si>
    <t>PTRES 000514</t>
  </si>
  <si>
    <t>Pgto Aposentad.</t>
  </si>
  <si>
    <t>Aposentadorias e reformas</t>
  </si>
  <si>
    <t>e Pensões</t>
  </si>
  <si>
    <t>Pensões</t>
  </si>
  <si>
    <t>Sentenças judiciais</t>
  </si>
  <si>
    <t>PTRES 000516</t>
  </si>
  <si>
    <t>Apreciação de</t>
  </si>
  <si>
    <t>Diárias pessoal civil no país</t>
  </si>
  <si>
    <t>Causas - ODCC</t>
  </si>
  <si>
    <t>Material de consumo</t>
  </si>
  <si>
    <t>Premiações</t>
  </si>
  <si>
    <t>Passagens e despesas c/ locomoção</t>
  </si>
  <si>
    <t>Serviços de consultoria</t>
  </si>
  <si>
    <t>Outros serv. terceiros - pessoa física</t>
  </si>
  <si>
    <t>Locação de mão-de-obra</t>
  </si>
  <si>
    <t>Outros ser. terceiros - pessoa juridica</t>
  </si>
  <si>
    <t>Obrigações tributarias e contributivas</t>
  </si>
  <si>
    <t>Auxilio transporte</t>
  </si>
  <si>
    <t>Indenizações e restituições</t>
  </si>
  <si>
    <t>Outros serv. terc.-p.jurid.-op. Intra orçam</t>
  </si>
  <si>
    <t>Obrig. trib. contrib.- op. Intra orçam</t>
  </si>
  <si>
    <t>Outros Serv Terceiros - Pessoa Juridica</t>
  </si>
  <si>
    <t>Obras e Instalações</t>
  </si>
  <si>
    <t>Material permanente</t>
  </si>
  <si>
    <t>PTRES 000518</t>
  </si>
  <si>
    <t>Capacitação</t>
  </si>
  <si>
    <t>Recursos Humanos</t>
  </si>
  <si>
    <t>Outros serv.terceiros - pessoa jurídica</t>
  </si>
  <si>
    <t>Outros ser. terc.-p.jurid.-op. Intra orçam</t>
  </si>
  <si>
    <t>Equipamentos e material permanente</t>
  </si>
  <si>
    <t>PTRES 001241</t>
  </si>
  <si>
    <t>Precatórios DNOCS</t>
  </si>
  <si>
    <t>PTRES 005002</t>
  </si>
  <si>
    <t>Precatórios Funasa</t>
  </si>
  <si>
    <t>PTRES 020641</t>
  </si>
  <si>
    <t>Modernização Instal.</t>
  </si>
  <si>
    <t>Físicas da J. Trabalho</t>
  </si>
  <si>
    <t>PTRES 024290</t>
  </si>
  <si>
    <t>Manutenção Sistema</t>
  </si>
  <si>
    <t>PTRES  024301</t>
  </si>
  <si>
    <t xml:space="preserve">Assistência Juridica </t>
  </si>
  <si>
    <t>Pessoas carentes</t>
  </si>
  <si>
    <t>(Perícias)</t>
  </si>
  <si>
    <t>PTRES 024302</t>
  </si>
  <si>
    <t>Assist. Pré-escolar</t>
  </si>
  <si>
    <t>PTRES 024303</t>
  </si>
  <si>
    <t>Assistencia Médica</t>
  </si>
  <si>
    <t>Outros serv.terceiros-pessoa jurídica</t>
  </si>
  <si>
    <t>PTRES 030696</t>
  </si>
  <si>
    <t>Precatórios Admin.</t>
  </si>
  <si>
    <t>Direta</t>
  </si>
  <si>
    <t>PTRES 030697</t>
  </si>
  <si>
    <t>Sentenças Pequeno</t>
  </si>
  <si>
    <t>Valor</t>
  </si>
  <si>
    <t>Total</t>
  </si>
  <si>
    <t>Fonte: SIAFI / DICON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</si>
</sst>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#,##0.00;[Red]#,##0.0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dashed"/>
      <right style="thin"/>
      <top style="thin">
        <color indexed="8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vertical="center" wrapText="1"/>
    </xf>
    <xf numFmtId="0" fontId="0" fillId="2" borderId="17" xfId="0" applyFill="1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vertical="center" wrapText="1"/>
    </xf>
    <xf numFmtId="0" fontId="6" fillId="2" borderId="19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/>
    </xf>
    <xf numFmtId="4" fontId="0" fillId="2" borderId="16" xfId="0" applyNumberFormat="1" applyFont="1" applyFill="1" applyBorder="1" applyAlignment="1">
      <alignment horizontal="right" vertical="center"/>
    </xf>
    <xf numFmtId="4" fontId="0" fillId="2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" fontId="0" fillId="2" borderId="21" xfId="0" applyNumberFormat="1" applyFont="1" applyFill="1" applyBorder="1" applyAlignment="1">
      <alignment horizontal="right" vertical="center"/>
    </xf>
    <xf numFmtId="4" fontId="0" fillId="2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4" fontId="0" fillId="2" borderId="22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2" borderId="13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" fontId="0" fillId="2" borderId="9" xfId="0" applyNumberFormat="1" applyFont="1" applyFill="1" applyBorder="1" applyAlignment="1">
      <alignment horizontal="right" vertical="center"/>
    </xf>
    <xf numFmtId="4" fontId="0" fillId="2" borderId="18" xfId="0" applyNumberFormat="1" applyFont="1" applyFill="1" applyBorder="1" applyAlignment="1">
      <alignment horizontal="right" vertical="center"/>
    </xf>
    <xf numFmtId="4" fontId="0" fillId="2" borderId="21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left"/>
    </xf>
    <xf numFmtId="4" fontId="7" fillId="2" borderId="16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2" borderId="14" xfId="0" applyFont="1" applyFill="1" applyBorder="1" applyAlignment="1">
      <alignment/>
    </xf>
    <xf numFmtId="4" fontId="0" fillId="0" borderId="14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2" borderId="14" xfId="0" applyFill="1" applyBorder="1" applyAlignment="1">
      <alignment/>
    </xf>
    <xf numFmtId="4" fontId="0" fillId="2" borderId="14" xfId="0" applyNumberFormat="1" applyFont="1" applyFill="1" applyBorder="1" applyAlignment="1">
      <alignment vertical="center" wrapText="1"/>
    </xf>
    <xf numFmtId="4" fontId="0" fillId="0" borderId="22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166" fontId="0" fillId="0" borderId="14" xfId="0" applyNumberFormat="1" applyFont="1" applyBorder="1" applyAlignment="1">
      <alignment vertical="center" wrapText="1"/>
    </xf>
    <xf numFmtId="0" fontId="0" fillId="2" borderId="18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4" fontId="7" fillId="2" borderId="17" xfId="0" applyNumberFormat="1" applyFont="1" applyFill="1" applyBorder="1" applyAlignment="1">
      <alignment vertical="center" wrapText="1"/>
    </xf>
    <xf numFmtId="4" fontId="7" fillId="2" borderId="25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39" fontId="0" fillId="0" borderId="14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2" borderId="26" xfId="0" applyNumberFormat="1" applyFont="1" applyFill="1" applyBorder="1" applyAlignment="1">
      <alignment horizontal="right" vertical="center"/>
    </xf>
    <xf numFmtId="4" fontId="0" fillId="2" borderId="27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4" fontId="0" fillId="2" borderId="28" xfId="0" applyNumberFormat="1" applyFont="1" applyFill="1" applyBorder="1" applyAlignment="1">
      <alignment horizontal="right" vertical="center"/>
    </xf>
    <xf numFmtId="4" fontId="0" fillId="2" borderId="29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" fontId="7" fillId="2" borderId="18" xfId="0" applyNumberFormat="1" applyFont="1" applyFill="1" applyBorder="1" applyAlignment="1">
      <alignment vertical="center" wrapText="1"/>
    </xf>
    <xf numFmtId="4" fontId="7" fillId="2" borderId="3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4" fontId="7" fillId="2" borderId="14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4" fontId="5" fillId="2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2" borderId="17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 wrapText="1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2" borderId="12" xfId="0" applyFont="1" applyFill="1" applyBorder="1" applyAlignment="1">
      <alignment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4" fontId="7" fillId="3" borderId="35" xfId="0" applyNumberFormat="1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6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79" sqref="L79"/>
    </sheetView>
  </sheetViews>
  <sheetFormatPr defaultColWidth="9.140625" defaultRowHeight="12.75"/>
  <cols>
    <col min="1" max="1" width="18.00390625" style="17" customWidth="1"/>
    <col min="2" max="2" width="34.140625" style="0" customWidth="1"/>
    <col min="3" max="3" width="9.28125" style="0" bestFit="1" customWidth="1"/>
    <col min="4" max="4" width="18.7109375" style="0" customWidth="1"/>
    <col min="5" max="5" width="17.421875" style="0" customWidth="1"/>
    <col min="6" max="6" width="17.8515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9" ht="15.7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6" ht="15.75">
      <c r="A4" s="1" t="s">
        <v>3</v>
      </c>
      <c r="B4" s="1"/>
      <c r="C4" s="1"/>
      <c r="D4" s="1"/>
      <c r="E4" s="1"/>
      <c r="F4" s="1"/>
    </row>
    <row r="5" spans="1:6" ht="16.5" thickBot="1">
      <c r="A5" s="3"/>
      <c r="B5" s="4"/>
      <c r="C5" s="4"/>
      <c r="D5" s="4"/>
      <c r="E5" s="5"/>
      <c r="F5" s="5"/>
    </row>
    <row r="6" spans="1:7" ht="12.75" customHeight="1" thickBot="1">
      <c r="A6" s="6" t="s">
        <v>4</v>
      </c>
      <c r="B6" s="6"/>
      <c r="C6" s="7"/>
      <c r="D6" s="8" t="s">
        <v>5</v>
      </c>
      <c r="E6" s="9" t="s">
        <v>6</v>
      </c>
      <c r="F6" s="10" t="s">
        <v>7</v>
      </c>
      <c r="G6" s="11"/>
    </row>
    <row r="7" spans="1:7" ht="13.5" thickTop="1">
      <c r="A7" s="12"/>
      <c r="B7" s="12"/>
      <c r="C7" s="13"/>
      <c r="D7" s="14"/>
      <c r="E7" s="15"/>
      <c r="F7" s="16"/>
      <c r="G7" s="11"/>
    </row>
    <row r="8" spans="1:7" ht="15">
      <c r="A8" s="17" t="s">
        <v>8</v>
      </c>
      <c r="B8" s="18"/>
      <c r="C8" s="19"/>
      <c r="D8" s="20"/>
      <c r="E8" s="20"/>
      <c r="F8" s="20"/>
      <c r="G8" s="11"/>
    </row>
    <row r="9" spans="1:7" ht="12.75">
      <c r="A9" s="21" t="s">
        <v>9</v>
      </c>
      <c r="B9" s="22" t="s">
        <v>10</v>
      </c>
      <c r="C9" s="23">
        <v>449052</v>
      </c>
      <c r="D9" s="24">
        <f>179410+365175</f>
        <v>544585</v>
      </c>
      <c r="E9" s="24">
        <v>179410</v>
      </c>
      <c r="F9" s="24">
        <v>179410</v>
      </c>
      <c r="G9" s="11"/>
    </row>
    <row r="10" spans="1:7" ht="15">
      <c r="A10" s="25" t="s">
        <v>11</v>
      </c>
      <c r="B10" s="22"/>
      <c r="C10" s="26"/>
      <c r="D10" s="27"/>
      <c r="E10" s="27"/>
      <c r="F10" s="27"/>
      <c r="G10" s="11"/>
    </row>
    <row r="11" spans="1:7" ht="15">
      <c r="A11" s="28" t="s">
        <v>12</v>
      </c>
      <c r="B11" s="18"/>
      <c r="C11" s="29"/>
      <c r="D11" s="30"/>
      <c r="E11" s="31"/>
      <c r="F11" s="32"/>
      <c r="G11" s="11"/>
    </row>
    <row r="12" spans="1:7" ht="12.75">
      <c r="A12" s="33" t="s">
        <v>13</v>
      </c>
      <c r="B12" s="22" t="s">
        <v>14</v>
      </c>
      <c r="C12" s="23">
        <v>319113</v>
      </c>
      <c r="D12" s="34">
        <f>1996551.61+1958216.88+2209230.35+1909674.66+1914668.6+1967614.06+1952448.34+1951661.6+1941336.84+1605075.96</f>
        <v>19406478.900000002</v>
      </c>
      <c r="E12" s="34">
        <f>1996551.61+1958216.88+2209230.35+1909674.66+1914668.6+1967614.06+1952448.34+1951661.6+1941336.84+1605075.96</f>
        <v>19406478.900000002</v>
      </c>
      <c r="F12" s="35">
        <f>1996551.61+1958216.88+2209230.35+1909674.66+1914668.6+1967614.06+1952448.34+1951661.6+1941336.84+1605075.96</f>
        <v>19406478.900000002</v>
      </c>
      <c r="G12" s="11"/>
    </row>
    <row r="13" spans="1:6" ht="12.75">
      <c r="A13" s="33" t="s">
        <v>15</v>
      </c>
      <c r="B13" s="36" t="s">
        <v>16</v>
      </c>
      <c r="C13" s="23">
        <v>319192</v>
      </c>
      <c r="D13" s="34">
        <v>348011.7</v>
      </c>
      <c r="E13" s="34">
        <v>348011.7</v>
      </c>
      <c r="F13" s="35">
        <v>348011.7</v>
      </c>
    </row>
    <row r="14" spans="1:6" ht="12.75">
      <c r="A14" s="33"/>
      <c r="B14" s="37" t="s">
        <v>17</v>
      </c>
      <c r="C14" s="23"/>
      <c r="D14" s="38">
        <f>SUM(D12:D13)</f>
        <v>19754490.6</v>
      </c>
      <c r="E14" s="38">
        <f>SUM(E12:E13)</f>
        <v>19754490.6</v>
      </c>
      <c r="F14" s="39">
        <f>SUM(F12:F13)</f>
        <v>19754490.6</v>
      </c>
    </row>
    <row r="15" spans="1:7" ht="12.75">
      <c r="A15" s="28" t="s">
        <v>18</v>
      </c>
      <c r="B15" s="40"/>
      <c r="C15" s="41"/>
      <c r="D15" s="42"/>
      <c r="E15" s="43"/>
      <c r="F15" s="44"/>
      <c r="G15" s="11"/>
    </row>
    <row r="16" spans="1:6" ht="12.75">
      <c r="A16" s="33" t="s">
        <v>19</v>
      </c>
      <c r="B16" s="45" t="s">
        <v>20</v>
      </c>
      <c r="C16" s="23">
        <v>319008</v>
      </c>
      <c r="D16" s="34">
        <f>4869.76+415+648.31+985.54+1478.31+492.77+1478.31</f>
        <v>10368</v>
      </c>
      <c r="E16" s="34">
        <f>4869.76+415+648.31+985.54+1478.31+492.77+1478.31</f>
        <v>10368</v>
      </c>
      <c r="F16" s="35">
        <f>4869.76+415+648.31+985.54+1478.31+492.77+1478.31</f>
        <v>10368</v>
      </c>
    </row>
    <row r="17" spans="1:7" ht="12.75">
      <c r="A17" s="33" t="s">
        <v>21</v>
      </c>
      <c r="B17" s="45" t="s">
        <v>22</v>
      </c>
      <c r="C17" s="23">
        <v>319011</v>
      </c>
      <c r="D17" s="34">
        <f>14727718.92+11205991.33+10752378.12+10598081.91+10598061.02+12431591.07+10400311.97+10598995.94+10456156.44+10630596.96</f>
        <v>112399883.68</v>
      </c>
      <c r="E17" s="34">
        <f>14727718.92+11205991.33+10752378.12+10598081.91+10598061.02+12431591.07+10400311.97+10598995.94+10456156.44+10630596.96</f>
        <v>112399883.68</v>
      </c>
      <c r="F17" s="35">
        <f>14727718.92+11205991.33+10752378.12+10598081.91+10598061.02+12431591.07+10400311.97+10598995.94+10456156.44+10630596.96</f>
        <v>112399883.68</v>
      </c>
      <c r="G17" s="11"/>
    </row>
    <row r="18" spans="1:6" ht="12.75">
      <c r="A18" s="33"/>
      <c r="B18" s="45" t="s">
        <v>23</v>
      </c>
      <c r="C18" s="23">
        <v>319013</v>
      </c>
      <c r="D18" s="34">
        <f>3520.19+3379.38+3311.93+3684.12+3657.36+6179.85+4848.05+5692.48+4960.97+4561.11</f>
        <v>43795.44</v>
      </c>
      <c r="E18" s="34">
        <f>3520.19+3379.38+3311.93+3684.12+3657.36+6179.85+4848.05+5692.48+4960.97+4561.11</f>
        <v>43795.44</v>
      </c>
      <c r="F18" s="35">
        <f>3520.19+3379.38+3311.93+3684.12+3657.36+6179.85+4848.05+5692.48+4960.97+4561.11</f>
        <v>43795.44</v>
      </c>
    </row>
    <row r="19" spans="1:6" ht="12.75">
      <c r="A19" s="33"/>
      <c r="B19" s="45" t="s">
        <v>24</v>
      </c>
      <c r="C19" s="23">
        <v>319016</v>
      </c>
      <c r="D19" s="34">
        <f>104715.94+65054.74+103619.57+56849.27+69161.7+51076.14+137806.21+72402.57+88439.51</f>
        <v>749125.6500000001</v>
      </c>
      <c r="E19" s="46">
        <f>104715.94+65054.74+103619.57+56849.27+69161.7+51076.14+137806.21+72402.57+88439.51</f>
        <v>749125.6500000001</v>
      </c>
      <c r="F19" s="34">
        <f>104715.94+65054.74+103619.57+56849.27+69161.7+51076.14+137806.21+72402.57+88439.51</f>
        <v>749125.6500000001</v>
      </c>
    </row>
    <row r="20" spans="1:7" ht="12.75">
      <c r="A20" s="33"/>
      <c r="B20" s="36" t="s">
        <v>25</v>
      </c>
      <c r="C20" s="23">
        <v>319092</v>
      </c>
      <c r="D20" s="34">
        <f>3878754.47+243</f>
        <v>3878997.47</v>
      </c>
      <c r="E20" s="46">
        <f>3878754.47+243</f>
        <v>3878997.47</v>
      </c>
      <c r="F20" s="34">
        <f>3878754.47+243</f>
        <v>3878997.47</v>
      </c>
      <c r="G20" s="11"/>
    </row>
    <row r="21" spans="1:7" ht="12.75">
      <c r="A21" s="33"/>
      <c r="B21" s="45" t="s">
        <v>26</v>
      </c>
      <c r="C21" s="23">
        <v>319113</v>
      </c>
      <c r="D21" s="34">
        <f>4925.77+54499.31+104424.98+46542.27+49690.79+48925.63+47021.1+47742.12+48211.38+48012.42</f>
        <v>499995.76999999996</v>
      </c>
      <c r="E21" s="34">
        <f>4925.77+54499.31+104424.98+46542.27+49690.79+48925.63+47021.1+47742.12+48211.38+48012.42</f>
        <v>499995.76999999996</v>
      </c>
      <c r="F21" s="35">
        <f>4925.77+54499.31+104424.98+46542.27+49690.79+48925.63+47021.1+47742.12+48211.38+48012.42</f>
        <v>499995.76999999996</v>
      </c>
      <c r="G21" s="11"/>
    </row>
    <row r="22" spans="1:7" ht="12.75">
      <c r="A22" s="33"/>
      <c r="B22" s="45" t="s">
        <v>16</v>
      </c>
      <c r="C22" s="23">
        <v>319192</v>
      </c>
      <c r="D22" s="34">
        <v>694.87</v>
      </c>
      <c r="E22" s="34">
        <v>694.87</v>
      </c>
      <c r="F22" s="35">
        <v>694.87</v>
      </c>
      <c r="G22" s="11"/>
    </row>
    <row r="23" spans="1:6" ht="12.75">
      <c r="A23" s="47"/>
      <c r="B23" s="48" t="s">
        <v>17</v>
      </c>
      <c r="C23" s="23"/>
      <c r="D23" s="38">
        <f>SUM(D16:D22)</f>
        <v>117582860.88000001</v>
      </c>
      <c r="E23" s="38">
        <f>SUM(E16:E22)</f>
        <v>117582860.88000001</v>
      </c>
      <c r="F23" s="38">
        <f>SUM(F16:F22)</f>
        <v>117582860.88000001</v>
      </c>
    </row>
    <row r="24" spans="1:7" ht="12.75">
      <c r="A24" s="33" t="s">
        <v>27</v>
      </c>
      <c r="B24" s="45"/>
      <c r="C24" s="49"/>
      <c r="D24" s="50"/>
      <c r="E24" s="51"/>
      <c r="F24" s="51"/>
      <c r="G24" s="11"/>
    </row>
    <row r="25" spans="1:6" ht="12.75">
      <c r="A25" s="33" t="s">
        <v>28</v>
      </c>
      <c r="B25" s="45" t="s">
        <v>29</v>
      </c>
      <c r="C25" s="23">
        <v>339046</v>
      </c>
      <c r="D25" s="34">
        <f>533610+532607.72+529915.91+522098.2+524532.26+569405.46+618944.78+573099.53+649014.57+616970.48</f>
        <v>5670198.91</v>
      </c>
      <c r="E25" s="34">
        <f>533610+532607.72+529915.91+522098.2+524532.26+569405.46+618944.78+573099.53+649014.57+616970.48</f>
        <v>5670198.91</v>
      </c>
      <c r="F25" s="35">
        <f>533610+532607.72+529915.91+522098.2+524532.26+569405.46+618944.78+573099.53+649014.57+616970.48</f>
        <v>5670198.91</v>
      </c>
    </row>
    <row r="26" spans="1:7" ht="12.75">
      <c r="A26" s="47"/>
      <c r="B26" s="37"/>
      <c r="C26" s="23"/>
      <c r="D26" s="52"/>
      <c r="E26" s="34"/>
      <c r="F26" s="35"/>
      <c r="G26" s="11"/>
    </row>
    <row r="27" spans="1:6" ht="12.75">
      <c r="A27" s="33" t="s">
        <v>30</v>
      </c>
      <c r="B27" s="40"/>
      <c r="C27" s="41"/>
      <c r="D27" s="42"/>
      <c r="E27" s="43"/>
      <c r="F27" s="44"/>
    </row>
    <row r="28" spans="1:6" ht="12.75">
      <c r="A28" s="33" t="s">
        <v>31</v>
      </c>
      <c r="B28" s="45" t="s">
        <v>32</v>
      </c>
      <c r="C28" s="23">
        <v>339049</v>
      </c>
      <c r="D28" s="34">
        <f>1038.7+1578.63+1495.06+1958.82+1745.94+1258.1+1441.63+1582.14+1649.78+1908.42</f>
        <v>15657.220000000001</v>
      </c>
      <c r="E28" s="34">
        <f>1038.7+1578.63+1495.06+1958.82+1745.94+1258.1+1441.63+1582.14+1649.78+1908.42</f>
        <v>15657.220000000001</v>
      </c>
      <c r="F28" s="35">
        <f>1038.7+1578.63+1495.06+1958.82+1745.94+1258.1+1441.63+1582.14+1649.78+1908.42</f>
        <v>15657.220000000001</v>
      </c>
    </row>
    <row r="29" spans="1:7" ht="12.75">
      <c r="A29" s="47"/>
      <c r="B29" s="53"/>
      <c r="C29" s="54"/>
      <c r="D29" s="55"/>
      <c r="E29" s="56"/>
      <c r="F29" s="57"/>
      <c r="G29" s="11"/>
    </row>
    <row r="30" spans="1:6" ht="12.75">
      <c r="A30" s="33" t="s">
        <v>33</v>
      </c>
      <c r="B30" s="40"/>
      <c r="C30" s="41"/>
      <c r="D30" s="58"/>
      <c r="E30" s="43"/>
      <c r="F30" s="44"/>
    </row>
    <row r="31" spans="1:7" ht="12.75">
      <c r="A31" s="33" t="s">
        <v>34</v>
      </c>
      <c r="B31" s="45" t="s">
        <v>35</v>
      </c>
      <c r="C31" s="23">
        <v>319001</v>
      </c>
      <c r="D31" s="34">
        <f>3295751.46+4947566.09+3316470.25+3365444.21+3344032.85+3354151.52+3485796.22+3381482.24+3452274.46+3458502.65</f>
        <v>35401471.95</v>
      </c>
      <c r="E31" s="46">
        <f>3295751.46+4947566.09+3316470.25+3365444.21+3344032.85+3354151.52+3485796.22+3381482.24+3452274.46+3458502.65</f>
        <v>35401471.95</v>
      </c>
      <c r="F31" s="34">
        <f>3295751.46+4947566.09+3316470.25+3365444.21+3344032.85+3354151.52+3485796.22+3381482.24+3452274.46+3458502.65</f>
        <v>35401471.95</v>
      </c>
      <c r="G31" s="11"/>
    </row>
    <row r="32" spans="1:6" ht="12.75">
      <c r="A32" s="33" t="s">
        <v>36</v>
      </c>
      <c r="B32" s="45" t="s">
        <v>37</v>
      </c>
      <c r="C32" s="23">
        <v>319003</v>
      </c>
      <c r="D32" s="34">
        <f>822577.91+822577.91+822577.91+899782.39+829895.3+1276031.89+835509.95+833095.01+825690.98+813531.3</f>
        <v>8781270.55</v>
      </c>
      <c r="E32" s="46">
        <f>822577.91+822577.91+822577.91+899782.39+829895.3+1276031.89+835509.95+833095.01+825690.98+813531.3</f>
        <v>8781270.55</v>
      </c>
      <c r="F32" s="34">
        <f>822577.91+822577.91+822577.91+899782.39+829895.3+1276031.89+835509.95+833095.01+825690.98+813531.3</f>
        <v>8781270.55</v>
      </c>
    </row>
    <row r="33" spans="1:7" ht="12.75">
      <c r="A33" s="33"/>
      <c r="B33" s="45" t="s">
        <v>20</v>
      </c>
      <c r="C33" s="23">
        <v>319008</v>
      </c>
      <c r="D33" s="34">
        <v>10152.56</v>
      </c>
      <c r="E33" s="46">
        <v>10152.56</v>
      </c>
      <c r="F33" s="34">
        <v>10152.56</v>
      </c>
      <c r="G33" s="11"/>
    </row>
    <row r="34" spans="1:6" ht="12.75">
      <c r="A34" s="33"/>
      <c r="B34" s="45" t="s">
        <v>38</v>
      </c>
      <c r="C34" s="23">
        <v>319091</v>
      </c>
      <c r="D34" s="34">
        <f>43239.01+49688.88+43239.01+43239.01+43239.01+58408.6+43239.01+40728.73+40728.73+40728.73</f>
        <v>446478.72</v>
      </c>
      <c r="E34" s="46">
        <f>43239.01+49688.88+43239.01+43239.01+43239.01+58408.6+43239.01+40728.73+40728.73+40728.73</f>
        <v>446478.72</v>
      </c>
      <c r="F34" s="34">
        <f>43239.01+49688.88+43239.01+43239.01+43239.01+58408.6+43239.01+40728.73+40728.73+40728.73</f>
        <v>446478.72</v>
      </c>
    </row>
    <row r="35" spans="1:6" ht="12.75">
      <c r="A35" s="33"/>
      <c r="B35" s="36" t="s">
        <v>16</v>
      </c>
      <c r="C35" s="23">
        <v>319092</v>
      </c>
      <c r="D35" s="34">
        <v>3953975.13</v>
      </c>
      <c r="E35" s="34">
        <v>3953975.13</v>
      </c>
      <c r="F35" s="34">
        <v>3953975.13</v>
      </c>
    </row>
    <row r="36" spans="1:6" ht="12.75">
      <c r="A36" s="47"/>
      <c r="B36" s="59" t="s">
        <v>17</v>
      </c>
      <c r="C36" s="23"/>
      <c r="D36" s="60">
        <f>SUM(D30:D35)</f>
        <v>48593348.910000004</v>
      </c>
      <c r="E36" s="61">
        <f>SUM(E31:E35)</f>
        <v>48593348.910000004</v>
      </c>
      <c r="F36" s="62">
        <f>SUM(F31:F35)</f>
        <v>48593348.910000004</v>
      </c>
    </row>
    <row r="37" spans="1:7" ht="12.75">
      <c r="A37" s="63" t="s">
        <v>39</v>
      </c>
      <c r="B37" s="64"/>
      <c r="C37" s="49"/>
      <c r="D37" s="50"/>
      <c r="E37" s="65"/>
      <c r="F37" s="66"/>
      <c r="G37" s="11"/>
    </row>
    <row r="38" spans="1:7" ht="12.75">
      <c r="A38" s="67" t="s">
        <v>40</v>
      </c>
      <c r="B38" s="64" t="s">
        <v>41</v>
      </c>
      <c r="C38" s="23">
        <v>339014</v>
      </c>
      <c r="D38" s="68">
        <f>30000+330000+130000</f>
        <v>490000</v>
      </c>
      <c r="E38" s="69">
        <f>22630.14+46243.36+49422.63+39300.51+42257.84+48083.18+35081.73+43817.46+34694.02+43097.45</f>
        <v>404628.32000000007</v>
      </c>
      <c r="F38" s="70">
        <f>22630.14+46243.36+49422.63+39300.51+42257.84+48083.18+35081.73+43817.46+34694.02+43097.45</f>
        <v>404628.32000000007</v>
      </c>
      <c r="G38" s="11"/>
    </row>
    <row r="39" spans="1:7" ht="12.75">
      <c r="A39" s="71" t="s">
        <v>42</v>
      </c>
      <c r="B39" s="64" t="s">
        <v>43</v>
      </c>
      <c r="C39" s="23">
        <v>339030</v>
      </c>
      <c r="D39" s="72">
        <f>121654.67+267901.36+242973+135720.27+41681.67+90423.53+58440.16+74034.14+198188.04+386211.91</f>
        <v>1617228.75</v>
      </c>
      <c r="E39" s="73">
        <f>3056+71162.98+122822.65+190773.36+270280.31+43117.03+55099.13+53625.98+31104.8+163260.15</f>
        <v>1004302.3900000001</v>
      </c>
      <c r="F39" s="69">
        <f>3000+61458.98+131747.85+43539.62+201525.03+145258.94+135866.84+60113.78+30742.45+77664.97</f>
        <v>890918.4599999998</v>
      </c>
      <c r="G39" s="11"/>
    </row>
    <row r="40" spans="1:7" ht="12.75">
      <c r="A40" s="67"/>
      <c r="B40" s="64" t="s">
        <v>44</v>
      </c>
      <c r="C40" s="23">
        <v>339031</v>
      </c>
      <c r="D40" s="68">
        <f>2550+7990</f>
        <v>10540</v>
      </c>
      <c r="E40" s="69">
        <v>2550</v>
      </c>
      <c r="F40" s="70">
        <v>2550</v>
      </c>
      <c r="G40" s="11"/>
    </row>
    <row r="41" spans="1:7" ht="12.75">
      <c r="A41" s="67"/>
      <c r="B41" s="64" t="s">
        <v>45</v>
      </c>
      <c r="C41" s="23">
        <v>339033</v>
      </c>
      <c r="D41" s="68">
        <f>9000+99000+30000</f>
        <v>138000</v>
      </c>
      <c r="E41" s="69">
        <f>12819.42+14500.73+6687.99+8485.96+16592.79+9396.18+11695.49+19310.07+32460.25</f>
        <v>131948.88</v>
      </c>
      <c r="F41" s="70">
        <f>6709.74+20610.41+6687.99+8485.96+16592.79+9396.18+11695.49+19310.07+32460.25</f>
        <v>131948.88</v>
      </c>
      <c r="G41" s="11"/>
    </row>
    <row r="42" spans="1:6" ht="12.75">
      <c r="A42" s="67"/>
      <c r="B42" s="64" t="s">
        <v>46</v>
      </c>
      <c r="C42" s="23">
        <v>339035</v>
      </c>
      <c r="D42" s="74">
        <v>0</v>
      </c>
      <c r="E42" s="69">
        <v>0</v>
      </c>
      <c r="F42" s="70">
        <v>0</v>
      </c>
    </row>
    <row r="43" spans="1:6" ht="12.75">
      <c r="A43" s="67"/>
      <c r="B43" s="64" t="s">
        <v>47</v>
      </c>
      <c r="C43" s="23">
        <v>339036</v>
      </c>
      <c r="D43" s="68">
        <f>3000+33000-15000+9000+9000</f>
        <v>39000</v>
      </c>
      <c r="E43" s="69">
        <f>3000+3000+6000+6000+6000+3000</f>
        <v>27000</v>
      </c>
      <c r="F43" s="70">
        <f>6000+3000+3000+6000+6000+3000</f>
        <v>27000</v>
      </c>
    </row>
    <row r="44" spans="1:6" ht="12.75">
      <c r="A44" s="67"/>
      <c r="B44" s="64" t="s">
        <v>48</v>
      </c>
      <c r="C44" s="23">
        <v>339037</v>
      </c>
      <c r="D44" s="68">
        <f>300470.03+1410433.54+83805.15+588135.84+1272194.7+20409.42-0.1-120067.27+112898.4+306322.36</f>
        <v>3974602.0699999994</v>
      </c>
      <c r="E44" s="69">
        <f>45469.13+183769+305042.29+482460.79+273544.38+63639.37+144420.84+386989.91+217381.46</f>
        <v>2102717.17</v>
      </c>
      <c r="F44" s="70">
        <f>25469.96+203768.17+305042.29+307401.23+198246.04+313997.27+144420.84+326135.35+264189.22</f>
        <v>2088670.3699999999</v>
      </c>
    </row>
    <row r="45" spans="1:6" ht="12.75">
      <c r="A45" s="67"/>
      <c r="B45" s="64" t="s">
        <v>49</v>
      </c>
      <c r="C45" s="23">
        <v>339039</v>
      </c>
      <c r="D45" s="68">
        <f>419648.3+4233688.87+392574.46+69843.69+152118.01+122399.73+755907.74-48515.91+330159.56+26115.29</f>
        <v>6453939.74</v>
      </c>
      <c r="E45" s="34">
        <f>39581.13+265364.36+488540.87+278945.35+398252.75+699056.31+507899.23+390551.83+479127.11+514265.93</f>
        <v>4061584.87</v>
      </c>
      <c r="F45" s="35">
        <f>4953.36+274467.67+399106.42+361232.02+359448.15+731699.08+492505.99+436605.74+446367.6+543201.1</f>
        <v>4049587.130000001</v>
      </c>
    </row>
    <row r="46" spans="1:6" ht="12.75">
      <c r="A46" s="67"/>
      <c r="B46" s="64" t="s">
        <v>50</v>
      </c>
      <c r="C46" s="23">
        <v>339047</v>
      </c>
      <c r="D46" s="68">
        <f>1634.28+300.93+118.98+75.99+42.99+287+257.94+141.99+118.98</f>
        <v>2979.0799999999995</v>
      </c>
      <c r="E46" s="34">
        <f>33+133.44+434.37+252.42+176.43+166.44+463.43+391.38+275.43+252.42</f>
        <v>2578.7599999999998</v>
      </c>
      <c r="F46" s="35">
        <f>33+133.44+434.37+252.42+176.43+166.44+463.43+391.38+275.43+252.42</f>
        <v>2578.7599999999998</v>
      </c>
    </row>
    <row r="47" spans="1:6" ht="12.75">
      <c r="A47" s="67"/>
      <c r="B47" s="64" t="s">
        <v>51</v>
      </c>
      <c r="C47" s="23">
        <v>339049</v>
      </c>
      <c r="D47" s="68">
        <f>3400+20400+17000-11689+21000</f>
        <v>50111</v>
      </c>
      <c r="E47" s="69">
        <f>2588.4+3112.2+3778.2+3596+4462+4806+4826+5160+5212</f>
        <v>37540.8</v>
      </c>
      <c r="F47" s="70">
        <f>2588.4+3112.2+3778.2+3596+4462+4806+4826+5160+5212</f>
        <v>37540.8</v>
      </c>
    </row>
    <row r="48" spans="1:6" ht="12.75">
      <c r="A48" s="67"/>
      <c r="B48" s="75" t="s">
        <v>25</v>
      </c>
      <c r="C48" s="23">
        <v>339092</v>
      </c>
      <c r="D48" s="68">
        <f>3945.11+15232.61+2876.23+1540.56+1372.5</f>
        <v>24967.010000000002</v>
      </c>
      <c r="E48" s="69">
        <f>3945.11+6022.15+5321.23+1540.56+1372.5</f>
        <v>18201.55</v>
      </c>
      <c r="F48" s="70">
        <f>3945.11+6022.15+2817.82+4043.97+1372.5</f>
        <v>18201.55</v>
      </c>
    </row>
    <row r="49" spans="1:6" ht="12.75">
      <c r="A49" s="67"/>
      <c r="B49" s="64" t="s">
        <v>52</v>
      </c>
      <c r="C49" s="23">
        <v>339093</v>
      </c>
      <c r="D49" s="68">
        <f>74300+806300+3116.96+2000+3840+3500</f>
        <v>893056.96</v>
      </c>
      <c r="E49" s="69">
        <f>1300+58298.18+82884.8+88129.24+74802.43+87629.48+86637.88+66127.45+84082.83+84612.33</f>
        <v>714504.6199999999</v>
      </c>
      <c r="F49" s="70">
        <f>1300+58298.18+82884.8+88129.24+73502.43+88929.48+86637.88+66127.45+84082.83+84612.33</f>
        <v>714504.6199999999</v>
      </c>
    </row>
    <row r="50" spans="1:6" ht="12.75">
      <c r="A50" s="67"/>
      <c r="B50" s="64" t="s">
        <v>53</v>
      </c>
      <c r="C50" s="23">
        <v>339139</v>
      </c>
      <c r="D50" s="68">
        <f>4000+44000</f>
        <v>48000</v>
      </c>
      <c r="E50" s="34">
        <f>11297.64+1731.09</f>
        <v>13028.73</v>
      </c>
      <c r="F50" s="35">
        <v>11297.64</v>
      </c>
    </row>
    <row r="51" spans="1:6" ht="12.75">
      <c r="A51" s="67"/>
      <c r="B51" s="64" t="s">
        <v>54</v>
      </c>
      <c r="C51" s="23">
        <v>339147</v>
      </c>
      <c r="D51" s="74">
        <v>141.55</v>
      </c>
      <c r="E51" s="34">
        <v>141.55</v>
      </c>
      <c r="F51" s="35">
        <v>141.55</v>
      </c>
    </row>
    <row r="52" spans="1:6" ht="12.75">
      <c r="A52" s="67"/>
      <c r="B52" s="64" t="s">
        <v>55</v>
      </c>
      <c r="C52" s="23">
        <v>449039</v>
      </c>
      <c r="D52" s="68">
        <v>66930.5</v>
      </c>
      <c r="E52" s="34">
        <v>66930.5</v>
      </c>
      <c r="F52" s="35">
        <v>66930.5</v>
      </c>
    </row>
    <row r="53" spans="1:7" ht="12.75">
      <c r="A53" s="67"/>
      <c r="B53" s="64" t="s">
        <v>56</v>
      </c>
      <c r="C53" s="23">
        <v>449051</v>
      </c>
      <c r="D53" s="76">
        <v>13455.5</v>
      </c>
      <c r="E53" s="69">
        <v>0</v>
      </c>
      <c r="F53" s="70">
        <v>0</v>
      </c>
      <c r="G53" s="11"/>
    </row>
    <row r="54" spans="1:6" ht="12.75">
      <c r="A54" s="67"/>
      <c r="B54" s="64" t="s">
        <v>57</v>
      </c>
      <c r="C54" s="23">
        <v>449052</v>
      </c>
      <c r="D54" s="68">
        <f>4491+40833+252205.08-180613.98+186201.24+12336.7+46191+136758.84+53560</f>
        <v>551962.88</v>
      </c>
      <c r="E54" s="69">
        <f>40100+379+4845+5514+2499.96+7580+104129.7+180613.98</f>
        <v>345661.64</v>
      </c>
      <c r="F54" s="70">
        <f>40100+5224+7299.96+7580+71796.7+212946.98</f>
        <v>344947.64</v>
      </c>
    </row>
    <row r="55" spans="1:6" ht="12.75">
      <c r="A55" s="67"/>
      <c r="B55" s="64" t="s">
        <v>16</v>
      </c>
      <c r="C55" s="23">
        <v>449092</v>
      </c>
      <c r="D55" s="68">
        <v>194549.1</v>
      </c>
      <c r="E55" s="69">
        <v>194549.1</v>
      </c>
      <c r="F55" s="70">
        <v>194549.1</v>
      </c>
    </row>
    <row r="56" spans="1:6" ht="12.75">
      <c r="A56" s="77"/>
      <c r="B56" s="78" t="s">
        <v>17</v>
      </c>
      <c r="C56" s="79"/>
      <c r="D56" s="80">
        <f>SUM(D38:D55)</f>
        <v>14569464.14</v>
      </c>
      <c r="E56" s="81">
        <f>SUM(E38:E55)</f>
        <v>9127868.88</v>
      </c>
      <c r="F56" s="39">
        <f>SUM(F38:F55)</f>
        <v>8985995.319999998</v>
      </c>
    </row>
    <row r="57" spans="1:13" ht="12.75">
      <c r="A57" s="33" t="s">
        <v>58</v>
      </c>
      <c r="B57" s="40"/>
      <c r="C57" s="41"/>
      <c r="D57" s="41"/>
      <c r="E57" s="43"/>
      <c r="F57" s="44"/>
      <c r="G57" s="11"/>
      <c r="M57" s="17"/>
    </row>
    <row r="58" spans="1:6" ht="12.75">
      <c r="A58" s="33" t="s">
        <v>59</v>
      </c>
      <c r="B58" s="45" t="str">
        <f>B38</f>
        <v>Diárias pessoal civil no país</v>
      </c>
      <c r="C58" s="23">
        <v>339014</v>
      </c>
      <c r="D58" s="82">
        <f>14000+154000</f>
        <v>168000</v>
      </c>
      <c r="E58" s="34">
        <f>5989.49+3190.07+13614.11+10951.59+20229.39+670.86+14735.59+14319.46+32180.96</f>
        <v>115881.51999999999</v>
      </c>
      <c r="F58" s="35">
        <f>5989.49+3190.07+13614.11+10951.59+20229.39+670.86+14735.59+14319.46+32180.96</f>
        <v>115881.51999999999</v>
      </c>
    </row>
    <row r="59" spans="1:6" ht="12.75">
      <c r="A59" s="33" t="s">
        <v>60</v>
      </c>
      <c r="B59" s="45" t="s">
        <v>43</v>
      </c>
      <c r="C59" s="23">
        <v>339030</v>
      </c>
      <c r="D59" s="83">
        <v>0</v>
      </c>
      <c r="E59" s="34">
        <v>0</v>
      </c>
      <c r="F59" s="35">
        <v>0</v>
      </c>
    </row>
    <row r="60" spans="1:7" ht="12.75">
      <c r="A60" s="33"/>
      <c r="B60" s="45" t="str">
        <f>B41</f>
        <v>Passagens e despesas c/ locomoção</v>
      </c>
      <c r="C60" s="23">
        <v>339033</v>
      </c>
      <c r="D60" s="82">
        <f>14000+154000</f>
        <v>168000</v>
      </c>
      <c r="E60" s="34">
        <f>10570.86+2573.84+17267.11+28186.29+16445.2+13299.64+14936.8+31098.99</f>
        <v>134378.73</v>
      </c>
      <c r="F60" s="35">
        <f>2029.58+11115.12+17267.11+28186.29+16445.2+13299.64+14936.8+31098.99</f>
        <v>134378.73</v>
      </c>
      <c r="G60" s="11"/>
    </row>
    <row r="61" spans="1:6" ht="12.75">
      <c r="A61" s="33"/>
      <c r="B61" s="45" t="str">
        <f>B43</f>
        <v>Outros serv. terceiros - pessoa física</v>
      </c>
      <c r="C61" s="23">
        <v>339036</v>
      </c>
      <c r="D61" s="82">
        <f>1644.24+4169.8+1175+1186.36</f>
        <v>8175.4</v>
      </c>
      <c r="E61" s="34">
        <f>1644.24+4169.8+1175+1186.36</f>
        <v>8175.4</v>
      </c>
      <c r="F61" s="35">
        <f>1644.24+4169.8+1175+1186.36</f>
        <v>8175.4</v>
      </c>
    </row>
    <row r="62" spans="1:6" ht="12.75">
      <c r="A62" s="33"/>
      <c r="B62" s="45" t="s">
        <v>61</v>
      </c>
      <c r="C62" s="23">
        <v>339039</v>
      </c>
      <c r="D62" s="82">
        <f>173951+25483</f>
        <v>199434</v>
      </c>
      <c r="E62" s="34">
        <f>21984+53899+6960+9120+10430+26746+3340</f>
        <v>132479</v>
      </c>
      <c r="F62" s="35">
        <f>21984+37979+22880+9120+3690+27430+9396</f>
        <v>132479</v>
      </c>
    </row>
    <row r="63" spans="1:6" ht="12.75">
      <c r="A63" s="33"/>
      <c r="B63" s="36" t="s">
        <v>25</v>
      </c>
      <c r="C63" s="23">
        <v>339092</v>
      </c>
      <c r="D63" s="82">
        <f>97.18+8174</f>
        <v>8271.18</v>
      </c>
      <c r="E63" s="34">
        <f>97.18+8174</f>
        <v>8271.18</v>
      </c>
      <c r="F63" s="35">
        <f>97.18+8174</f>
        <v>8271.18</v>
      </c>
    </row>
    <row r="64" spans="1:7" ht="12.75">
      <c r="A64" s="33"/>
      <c r="B64" s="45" t="s">
        <v>52</v>
      </c>
      <c r="C64" s="23">
        <v>339093</v>
      </c>
      <c r="D64" s="84">
        <f>500+2000</f>
        <v>2500</v>
      </c>
      <c r="E64" s="34">
        <f>138.5+99+99+120</f>
        <v>456.5</v>
      </c>
      <c r="F64" s="35">
        <f>138.5+99+99+120</f>
        <v>456.5</v>
      </c>
      <c r="G64" s="11"/>
    </row>
    <row r="65" spans="1:6" ht="12.75">
      <c r="A65" s="33"/>
      <c r="B65" s="64" t="s">
        <v>62</v>
      </c>
      <c r="C65" s="23">
        <v>339139</v>
      </c>
      <c r="D65" s="82">
        <v>0</v>
      </c>
      <c r="E65" s="34">
        <v>0</v>
      </c>
      <c r="F65" s="35">
        <v>0</v>
      </c>
    </row>
    <row r="66" spans="1:6" ht="12.75">
      <c r="A66" s="33"/>
      <c r="B66" s="45" t="s">
        <v>50</v>
      </c>
      <c r="C66" s="23">
        <v>339147</v>
      </c>
      <c r="D66" s="83">
        <v>0</v>
      </c>
      <c r="E66" s="34">
        <v>0</v>
      </c>
      <c r="F66" s="35">
        <v>0</v>
      </c>
    </row>
    <row r="67" spans="1:6" ht="12.75">
      <c r="A67" s="33"/>
      <c r="B67" s="45" t="s">
        <v>63</v>
      </c>
      <c r="C67" s="23">
        <v>449052</v>
      </c>
      <c r="D67" s="83">
        <v>0</v>
      </c>
      <c r="E67" s="34">
        <v>0</v>
      </c>
      <c r="F67" s="35">
        <v>0</v>
      </c>
    </row>
    <row r="68" spans="1:6" ht="12.75">
      <c r="A68" s="47"/>
      <c r="B68" s="48" t="s">
        <v>17</v>
      </c>
      <c r="C68" s="85"/>
      <c r="D68" s="86">
        <f>SUM(D58:D67)</f>
        <v>554380.5800000001</v>
      </c>
      <c r="E68" s="38">
        <f>SUM(E58:E67)</f>
        <v>399642.33</v>
      </c>
      <c r="F68" s="61">
        <f>SUM(F58:F67)</f>
        <v>399642.33</v>
      </c>
    </row>
    <row r="69" spans="1:6" ht="12.75">
      <c r="A69" s="33" t="s">
        <v>64</v>
      </c>
      <c r="B69" s="36" t="s">
        <v>38</v>
      </c>
      <c r="C69" s="23">
        <v>319091</v>
      </c>
      <c r="D69" s="87">
        <f>3718496-21735.98-1729.92</f>
        <v>3695030.1</v>
      </c>
      <c r="E69" s="88">
        <f>146418.8+75950.15</f>
        <v>222368.94999999998</v>
      </c>
      <c r="F69" s="89">
        <f>E69</f>
        <v>222368.94999999998</v>
      </c>
    </row>
    <row r="70" spans="1:6" ht="12.75">
      <c r="A70" s="33" t="s">
        <v>65</v>
      </c>
      <c r="B70" s="36" t="str">
        <f>B69</f>
        <v>Sentenças judiciais</v>
      </c>
      <c r="C70" s="23">
        <v>319191</v>
      </c>
      <c r="D70" s="68">
        <f>21735.98+1729.92</f>
        <v>23465.9</v>
      </c>
      <c r="E70" s="46">
        <f>D70</f>
        <v>23465.9</v>
      </c>
      <c r="F70" s="89">
        <f>D70</f>
        <v>23465.9</v>
      </c>
    </row>
    <row r="71" spans="1:6" ht="12.75">
      <c r="A71" s="33"/>
      <c r="B71" s="37" t="s">
        <v>17</v>
      </c>
      <c r="C71" s="23"/>
      <c r="D71" s="90">
        <f>SUM(D69:D70)</f>
        <v>3718496</v>
      </c>
      <c r="E71" s="90">
        <f>SUM(E69:E70)</f>
        <v>245834.84999999998</v>
      </c>
      <c r="F71" s="90">
        <f>SUM(F69:F70)</f>
        <v>245834.84999999998</v>
      </c>
    </row>
    <row r="72" spans="1:6" ht="12.75">
      <c r="A72" s="28" t="s">
        <v>66</v>
      </c>
      <c r="B72" s="40" t="s">
        <v>38</v>
      </c>
      <c r="C72" s="41">
        <v>319091</v>
      </c>
      <c r="D72" s="91">
        <f>18557-1146.84-18.21</f>
        <v>17391.95</v>
      </c>
      <c r="E72" s="92">
        <f>16066.1+159.13</f>
        <v>16225.23</v>
      </c>
      <c r="F72" s="93">
        <f>16066.1+159.13</f>
        <v>16225.23</v>
      </c>
    </row>
    <row r="73" spans="1:6" ht="12.75">
      <c r="A73" s="33" t="s">
        <v>67</v>
      </c>
      <c r="B73" s="45" t="str">
        <f>B72</f>
        <v>Sentenças judiciais</v>
      </c>
      <c r="C73" s="23">
        <v>319191</v>
      </c>
      <c r="D73" s="68">
        <f>1146.84+18.21</f>
        <v>1165.05</v>
      </c>
      <c r="E73" s="46">
        <f>1146.84+18.21</f>
        <v>1165.05</v>
      </c>
      <c r="F73" s="89">
        <f>1146.84+18.21</f>
        <v>1165.05</v>
      </c>
    </row>
    <row r="74" spans="1:8" ht="12.75">
      <c r="A74" s="47"/>
      <c r="B74" s="37" t="s">
        <v>17</v>
      </c>
      <c r="C74" s="94"/>
      <c r="D74" s="95">
        <f>SUM(D72:D73)</f>
        <v>18557</v>
      </c>
      <c r="E74" s="95">
        <f>SUM(E72:E73)</f>
        <v>17390.28</v>
      </c>
      <c r="F74" s="96">
        <f>SUM(F72:F73)</f>
        <v>17390.28</v>
      </c>
      <c r="H74" s="97"/>
    </row>
    <row r="75" spans="1:8" ht="12.75">
      <c r="A75" s="33" t="s">
        <v>68</v>
      </c>
      <c r="B75" s="98"/>
      <c r="C75" s="99"/>
      <c r="D75" s="100"/>
      <c r="E75" s="100"/>
      <c r="F75" s="39"/>
      <c r="H75" s="97"/>
    </row>
    <row r="76" spans="1:8" ht="12.75">
      <c r="A76" s="33" t="s">
        <v>69</v>
      </c>
      <c r="B76" s="36" t="s">
        <v>57</v>
      </c>
      <c r="C76" s="23">
        <v>449052</v>
      </c>
      <c r="D76" s="72">
        <f>35631.98+1748+8730</f>
        <v>46109.98</v>
      </c>
      <c r="E76" s="72">
        <f>24326+11305.98</f>
        <v>35631.979999999996</v>
      </c>
      <c r="F76" s="35">
        <f>35631.98</f>
        <v>35631.98</v>
      </c>
      <c r="H76" s="97"/>
    </row>
    <row r="77" spans="1:8" ht="12.75">
      <c r="A77" s="33" t="s">
        <v>70</v>
      </c>
      <c r="B77" s="48"/>
      <c r="C77" s="94"/>
      <c r="D77" s="95"/>
      <c r="E77" s="95"/>
      <c r="F77" s="62"/>
      <c r="H77" s="97"/>
    </row>
    <row r="78" spans="1:8" ht="12.75">
      <c r="A78" s="101" t="s">
        <v>71</v>
      </c>
      <c r="B78" s="36"/>
      <c r="C78" s="23"/>
      <c r="D78" s="72"/>
      <c r="E78" s="72"/>
      <c r="F78" s="35"/>
      <c r="H78" s="97"/>
    </row>
    <row r="79" spans="1:8" ht="12.75">
      <c r="A79" s="33" t="s">
        <v>72</v>
      </c>
      <c r="B79" s="36" t="s">
        <v>61</v>
      </c>
      <c r="C79" s="23">
        <v>339039</v>
      </c>
      <c r="D79" s="72">
        <f>89016+102000</f>
        <v>191016</v>
      </c>
      <c r="E79" s="72">
        <f>43644.12+15234.09</f>
        <v>58878.21000000001</v>
      </c>
      <c r="F79" s="35">
        <f>43644.12+15234.09</f>
        <v>58878.21000000001</v>
      </c>
      <c r="H79" s="97"/>
    </row>
    <row r="80" spans="1:8" ht="12.75">
      <c r="A80" s="33" t="s">
        <v>11</v>
      </c>
      <c r="B80" s="36" t="s">
        <v>61</v>
      </c>
      <c r="C80" s="23">
        <v>449039</v>
      </c>
      <c r="D80" s="72">
        <v>147578</v>
      </c>
      <c r="E80" s="72">
        <v>0</v>
      </c>
      <c r="F80" s="35">
        <v>0</v>
      </c>
      <c r="H80" s="97"/>
    </row>
    <row r="81" spans="1:8" ht="12.75">
      <c r="A81" s="33"/>
      <c r="B81" s="37" t="s">
        <v>17</v>
      </c>
      <c r="C81" s="23"/>
      <c r="D81" s="100">
        <f>SUM(D79:D80)</f>
        <v>338594</v>
      </c>
      <c r="E81" s="100">
        <f>SUM(E79:E80)</f>
        <v>58878.21000000001</v>
      </c>
      <c r="F81" s="100">
        <f>SUM(F79:F80)</f>
        <v>58878.21000000001</v>
      </c>
      <c r="H81" s="97"/>
    </row>
    <row r="82" spans="1:6" ht="14.25" customHeight="1">
      <c r="A82" s="101" t="s">
        <v>73</v>
      </c>
      <c r="B82" s="40"/>
      <c r="C82" s="102"/>
      <c r="D82" s="19"/>
      <c r="E82" s="32"/>
      <c r="F82" s="103"/>
    </row>
    <row r="83" spans="1:6" ht="12.75">
      <c r="A83" s="33" t="s">
        <v>74</v>
      </c>
      <c r="B83" s="45" t="str">
        <f>B61</f>
        <v>Outros serv. terceiros - pessoa física</v>
      </c>
      <c r="C83" s="23">
        <v>339036</v>
      </c>
      <c r="D83" s="104">
        <v>0</v>
      </c>
      <c r="E83" s="34">
        <v>0</v>
      </c>
      <c r="F83" s="35">
        <v>0</v>
      </c>
    </row>
    <row r="84" spans="1:6" ht="12.75">
      <c r="A84" s="33" t="s">
        <v>75</v>
      </c>
      <c r="B84" s="36" t="s">
        <v>25</v>
      </c>
      <c r="C84" s="23">
        <v>339092</v>
      </c>
      <c r="D84" s="104">
        <v>100000</v>
      </c>
      <c r="E84" s="34">
        <f>97529.36</f>
        <v>97529.36</v>
      </c>
      <c r="F84" s="35">
        <f>97529.36</f>
        <v>97529.36</v>
      </c>
    </row>
    <row r="85" spans="1:6" ht="12.75">
      <c r="A85" s="33" t="s">
        <v>76</v>
      </c>
      <c r="B85" s="64" t="s">
        <v>54</v>
      </c>
      <c r="C85" s="23">
        <v>339147</v>
      </c>
      <c r="D85" s="104">
        <v>0</v>
      </c>
      <c r="E85" s="34">
        <v>0</v>
      </c>
      <c r="F85" s="35">
        <v>0</v>
      </c>
    </row>
    <row r="86" spans="1:6" ht="12.75">
      <c r="A86" s="33"/>
      <c r="B86" s="36" t="s">
        <v>25</v>
      </c>
      <c r="C86" s="23">
        <v>339192</v>
      </c>
      <c r="D86" s="104">
        <v>20000</v>
      </c>
      <c r="E86" s="34">
        <f>19505.87</f>
        <v>19505.87</v>
      </c>
      <c r="F86" s="35">
        <f>19505.87</f>
        <v>19505.87</v>
      </c>
    </row>
    <row r="87" spans="1:6" ht="12.75">
      <c r="A87" s="33"/>
      <c r="B87" s="105" t="s">
        <v>17</v>
      </c>
      <c r="C87" s="23"/>
      <c r="D87" s="106">
        <f>SUM(D83:D86)</f>
        <v>120000</v>
      </c>
      <c r="E87" s="81">
        <f>SUM(E83:E86)</f>
        <v>117035.23</v>
      </c>
      <c r="F87" s="81">
        <f>SUM(F83:F86)</f>
        <v>117035.23</v>
      </c>
    </row>
    <row r="88" spans="1:7" ht="12.75">
      <c r="A88" s="101" t="s">
        <v>77</v>
      </c>
      <c r="B88" s="40"/>
      <c r="C88" s="41"/>
      <c r="D88" s="107"/>
      <c r="E88" s="43"/>
      <c r="F88" s="44"/>
      <c r="G88" s="11"/>
    </row>
    <row r="89" spans="1:6" ht="12.75">
      <c r="A89" s="33" t="s">
        <v>78</v>
      </c>
      <c r="B89" s="45" t="s">
        <v>20</v>
      </c>
      <c r="C89" s="23">
        <v>339008</v>
      </c>
      <c r="D89" s="104">
        <f>74000+74000+80400+81600+73200+74400+77200+78000+82000+82400</f>
        <v>777200</v>
      </c>
      <c r="E89" s="34">
        <f>74000+74000+80400+81600+73200+74400+77200+78000+82000+82400</f>
        <v>777200</v>
      </c>
      <c r="F89" s="35">
        <f>74000+74000+80400+81600+73200+74400+77200+78000+82000+82400</f>
        <v>777200</v>
      </c>
    </row>
    <row r="90" spans="1:6" ht="12.75">
      <c r="A90" s="47"/>
      <c r="B90" s="37"/>
      <c r="C90" s="23"/>
      <c r="D90" s="108"/>
      <c r="E90" s="34"/>
      <c r="F90" s="109"/>
    </row>
    <row r="91" spans="1:7" ht="12.75">
      <c r="A91" s="33" t="s">
        <v>79</v>
      </c>
      <c r="B91" s="40"/>
      <c r="C91" s="41"/>
      <c r="D91" s="41"/>
      <c r="E91" s="43"/>
      <c r="F91" s="44"/>
      <c r="G91" s="11"/>
    </row>
    <row r="92" spans="1:7" ht="12.75">
      <c r="A92" s="33" t="s">
        <v>80</v>
      </c>
      <c r="B92" s="45" t="s">
        <v>43</v>
      </c>
      <c r="C92" s="23">
        <v>339030</v>
      </c>
      <c r="D92" s="83">
        <v>0</v>
      </c>
      <c r="E92" s="34">
        <v>0</v>
      </c>
      <c r="F92" s="34">
        <v>0</v>
      </c>
      <c r="G92" s="11"/>
    </row>
    <row r="93" spans="1:7" ht="12.75">
      <c r="A93" s="33"/>
      <c r="B93" s="45" t="s">
        <v>81</v>
      </c>
      <c r="C93" s="23">
        <v>339039</v>
      </c>
      <c r="D93" s="82">
        <f>1800+3600+2036.3</f>
        <v>7436.3</v>
      </c>
      <c r="E93" s="34">
        <f>360+360+360+360+360+360+360+360+360</f>
        <v>3240</v>
      </c>
      <c r="F93" s="34">
        <f>360+360+360+360+360+360+360+360+360</f>
        <v>3240</v>
      </c>
      <c r="G93" s="11"/>
    </row>
    <row r="94" spans="1:6" ht="12.75">
      <c r="A94" s="33"/>
      <c r="B94" s="36" t="s">
        <v>25</v>
      </c>
      <c r="C94" s="23">
        <v>339092</v>
      </c>
      <c r="D94" s="83">
        <v>0</v>
      </c>
      <c r="E94" s="34">
        <v>0</v>
      </c>
      <c r="F94" s="34">
        <v>0</v>
      </c>
    </row>
    <row r="95" spans="1:6" ht="12.75">
      <c r="A95" s="33"/>
      <c r="B95" s="45" t="s">
        <v>52</v>
      </c>
      <c r="C95" s="23">
        <v>339093</v>
      </c>
      <c r="D95" s="46">
        <f>249424.69+254588.75+253249.68+253972.06+261727.23+260325.66+256108+261463.89+260171.87+262558.53</f>
        <v>2573590.3600000003</v>
      </c>
      <c r="E95" s="34">
        <f>249424.69+254588.75+253249.68+253972.06+261727.23+260325.66+256108+261463.89+260171.87+262558.53</f>
        <v>2573590.3600000003</v>
      </c>
      <c r="F95" s="34">
        <f>249424.69+254588.75+253249.68+253972.06+261727.23+260325.66+256108+261463.89+260171.87+262558.53</f>
        <v>2573590.3600000003</v>
      </c>
    </row>
    <row r="96" spans="1:6" ht="12.75">
      <c r="A96" s="47"/>
      <c r="B96" s="37" t="s">
        <v>17</v>
      </c>
      <c r="C96" s="23"/>
      <c r="D96" s="110">
        <f>SUM(D92:D95)</f>
        <v>2581026.66</v>
      </c>
      <c r="E96" s="110">
        <f>SUM(E92:E95)</f>
        <v>2576830.3600000003</v>
      </c>
      <c r="F96" s="61">
        <f>SUM(F92:F95)</f>
        <v>2576830.3600000003</v>
      </c>
    </row>
    <row r="97" spans="1:6" ht="12.75">
      <c r="A97" s="111" t="s">
        <v>82</v>
      </c>
      <c r="B97" s="112" t="s">
        <v>38</v>
      </c>
      <c r="C97" s="41">
        <v>319091</v>
      </c>
      <c r="D97" s="91">
        <f>682107-6612.23</f>
        <v>675494.77</v>
      </c>
      <c r="E97" s="43">
        <v>73179.74</v>
      </c>
      <c r="F97" s="44">
        <v>73179.74</v>
      </c>
    </row>
    <row r="98" spans="1:6" ht="12.75">
      <c r="A98" s="67" t="s">
        <v>83</v>
      </c>
      <c r="B98" s="36"/>
      <c r="C98" s="23">
        <v>319191</v>
      </c>
      <c r="D98" s="68">
        <v>6612.23</v>
      </c>
      <c r="E98" s="34">
        <v>6612.23</v>
      </c>
      <c r="F98" s="35">
        <v>6612.23</v>
      </c>
    </row>
    <row r="99" spans="1:6" ht="12.75">
      <c r="A99" s="67" t="s">
        <v>84</v>
      </c>
      <c r="B99" s="37" t="s">
        <v>17</v>
      </c>
      <c r="C99" s="99"/>
      <c r="D99" s="90">
        <f>SUM(D97:D98)</f>
        <v>682107</v>
      </c>
      <c r="E99" s="38">
        <f>SUM(E97:E98)</f>
        <v>79791.97</v>
      </c>
      <c r="F99" s="39">
        <f>SUM(F97:F98)</f>
        <v>79791.97</v>
      </c>
    </row>
    <row r="100" spans="1:6" ht="12.75">
      <c r="A100" s="113" t="s">
        <v>85</v>
      </c>
      <c r="B100" s="112" t="str">
        <f>B97</f>
        <v>Sentenças judiciais</v>
      </c>
      <c r="C100" s="41">
        <v>319091</v>
      </c>
      <c r="D100" s="91">
        <f>400000-10000-7000</f>
        <v>383000</v>
      </c>
      <c r="E100" s="43">
        <f>5987.56+8479.63+29256.07+36242.72+27900+84712.6+153172.19</f>
        <v>345750.77</v>
      </c>
      <c r="F100" s="44">
        <f>5987.56+8479.63+29256.07+36242.72+27900+84712.6+153172.19</f>
        <v>345750.77</v>
      </c>
    </row>
    <row r="101" spans="1:6" ht="12.75">
      <c r="A101" s="67" t="s">
        <v>86</v>
      </c>
      <c r="B101" s="36" t="str">
        <f>B100</f>
        <v>Sentenças judiciais</v>
      </c>
      <c r="C101" s="23">
        <v>319191</v>
      </c>
      <c r="D101" s="68">
        <f>126.31+726.47+9147.22+7000</f>
        <v>17000</v>
      </c>
      <c r="E101" s="34">
        <f>126.31+726.47+824.52</f>
        <v>1677.3</v>
      </c>
      <c r="F101" s="35">
        <f>126.31+726.47+824.52</f>
        <v>1677.3</v>
      </c>
    </row>
    <row r="102" spans="1:6" ht="12.75">
      <c r="A102" s="77" t="s">
        <v>87</v>
      </c>
      <c r="B102" s="37" t="s">
        <v>17</v>
      </c>
      <c r="C102" s="99"/>
      <c r="D102" s="100">
        <f>SUM(D100:D101)</f>
        <v>400000</v>
      </c>
      <c r="E102" s="61">
        <f>SUM(E100:E101)</f>
        <v>347428.07</v>
      </c>
      <c r="F102" s="62">
        <f>SUM(F100:F101)</f>
        <v>347428.07</v>
      </c>
    </row>
    <row r="103" spans="1:6" ht="13.5" customHeight="1" thickBot="1">
      <c r="A103" s="114" t="s">
        <v>88</v>
      </c>
      <c r="B103" s="115"/>
      <c r="C103" s="114"/>
      <c r="D103" s="116">
        <f>SUM(D9+D14+D23+D25+D28+D36+D56+D68+D71+D74+D76+D81+D87+D89+D96+D99+D102)</f>
        <v>215967076.88000003</v>
      </c>
      <c r="E103" s="116">
        <f>SUM(E9+E14+E23+E25+E28+E36+E56+E68+E71+E74+E76+E81+E87+E89+E96+E99+E102)</f>
        <v>205579498.68</v>
      </c>
      <c r="F103" s="116">
        <f>SUM(F9+F14+F23+F25+F28+F36+F56+F68+F71+F74+F76+F81+F87+F89+F96+F99+F102)</f>
        <v>205437625.12</v>
      </c>
    </row>
    <row r="104" spans="1:6" ht="14.25" customHeight="1" thickBot="1" thickTop="1">
      <c r="A104" s="117"/>
      <c r="B104" s="118"/>
      <c r="C104" s="117"/>
      <c r="D104" s="119"/>
      <c r="E104" s="119"/>
      <c r="F104" s="119"/>
    </row>
    <row r="105" spans="1:2" ht="16.5" thickTop="1">
      <c r="A105" s="120"/>
      <c r="B105" s="121"/>
    </row>
    <row r="106" ht="12.75">
      <c r="A106" s="122" t="s">
        <v>89</v>
      </c>
    </row>
    <row r="109" ht="12.75">
      <c r="B109" s="11"/>
    </row>
    <row r="111" ht="12.75">
      <c r="B111" s="11"/>
    </row>
  </sheetData>
  <sheetProtection password="AD3D" sheet="1" objects="1" scenarios="1" selectLockedCells="1" selectUnlockedCells="1"/>
  <mergeCells count="13">
    <mergeCell ref="A1:F1"/>
    <mergeCell ref="A2:F2"/>
    <mergeCell ref="A6:C7"/>
    <mergeCell ref="E6:E7"/>
    <mergeCell ref="F6:F7"/>
    <mergeCell ref="B103:C104"/>
    <mergeCell ref="A103:A104"/>
    <mergeCell ref="A3:F3"/>
    <mergeCell ref="A4:F4"/>
    <mergeCell ref="E103:E104"/>
    <mergeCell ref="F103:F104"/>
    <mergeCell ref="D6:D7"/>
    <mergeCell ref="D103:D10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2011-11-10T17:27:20Z</dcterms:created>
  <dcterms:modified xsi:type="dcterms:W3CDTF">2011-11-10T17:28:00Z</dcterms:modified>
  <cp:category/>
  <cp:version/>
  <cp:contentType/>
  <cp:contentStatus/>
</cp:coreProperties>
</file>